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7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Centro Estatal Control de Incendios Forestales\2019-Temporada\Estadistica\Sabana\"/>
    </mc:Choice>
  </mc:AlternateContent>
  <bookViews>
    <workbookView xWindow="0" yWindow="0" windowWidth="24000" windowHeight="9735" activeTab="1"/>
  </bookViews>
  <sheets>
    <sheet name="Hoja1" sheetId="12" r:id="rId1"/>
    <sheet name="Sabana" sheetId="4" r:id="rId2"/>
    <sheet name="DiaSemana" sheetId="5" r:id="rId3"/>
    <sheet name="Mes" sheetId="6" r:id="rId4"/>
    <sheet name="SemanaAño" sheetId="7" r:id="rId5"/>
    <sheet name="Municipio" sheetId="8" r:id="rId6"/>
    <sheet name="Predio" sheetId="9" r:id="rId7"/>
    <sheet name="Causas" sheetId="10" r:id="rId8"/>
  </sheets>
  <externalReferences>
    <externalReference r:id="rId9"/>
  </externalReferences>
  <definedNames>
    <definedName name="_xlnm.Print_Area" localSheetId="1">Sabana!$A$1:$DN$164</definedName>
    <definedName name="_xlnm.Print_Titles" localSheetId="1">Sabana!$2:$4</definedName>
    <definedName name="Vegetación">[1]Listas!$K$1:$K$58</definedName>
  </definedNames>
  <calcPr calcId="152511"/>
  <pivotCaches>
    <pivotCache cacheId="0" r:id="rId10"/>
  </pivotCaches>
</workbook>
</file>

<file path=xl/calcChain.xml><?xml version="1.0" encoding="utf-8"?>
<calcChain xmlns="http://schemas.openxmlformats.org/spreadsheetml/2006/main">
  <c r="AZ154" i="4" l="1"/>
  <c r="E163" i="4" l="1"/>
  <c r="I163" i="4"/>
  <c r="J163" i="4"/>
  <c r="W163" i="4"/>
  <c r="AE163" i="4"/>
  <c r="AZ163" i="4"/>
  <c r="CN163" i="4"/>
  <c r="CS163" i="4" s="1"/>
  <c r="CP163" i="4"/>
  <c r="CQ163" i="4"/>
  <c r="CR163" i="4"/>
  <c r="DN163" i="4"/>
  <c r="CT163" i="4" l="1"/>
  <c r="CV163" i="4" s="1"/>
  <c r="E162" i="4"/>
  <c r="I162" i="4"/>
  <c r="J162" i="4"/>
  <c r="W162" i="4"/>
  <c r="AE162" i="4"/>
  <c r="AZ162" i="4"/>
  <c r="CN162" i="4"/>
  <c r="CS162" i="4" s="1"/>
  <c r="CP162" i="4"/>
  <c r="CQ162" i="4"/>
  <c r="CR162" i="4"/>
  <c r="DN162" i="4"/>
  <c r="CT162" i="4" l="1"/>
  <c r="CV162" i="4" s="1"/>
  <c r="E161" i="4"/>
  <c r="I161" i="4"/>
  <c r="J161" i="4"/>
  <c r="W161" i="4"/>
  <c r="AE161" i="4"/>
  <c r="AZ161" i="4"/>
  <c r="CN161" i="4"/>
  <c r="CS161" i="4" s="1"/>
  <c r="CP161" i="4"/>
  <c r="CQ161" i="4"/>
  <c r="CR161" i="4"/>
  <c r="DN161" i="4"/>
  <c r="CT161" i="4" l="1"/>
  <c r="CV161" i="4" s="1"/>
  <c r="E160" i="4"/>
  <c r="I160" i="4"/>
  <c r="J160" i="4"/>
  <c r="W160" i="4"/>
  <c r="AE160" i="4"/>
  <c r="AZ160" i="4"/>
  <c r="CN160" i="4"/>
  <c r="CS160" i="4" s="1"/>
  <c r="CP160" i="4"/>
  <c r="CQ160" i="4"/>
  <c r="CR160" i="4"/>
  <c r="DN160" i="4"/>
  <c r="CT160" i="4" l="1"/>
  <c r="CV160" i="4" s="1"/>
  <c r="E158" i="4"/>
  <c r="I158" i="4"/>
  <c r="J158" i="4"/>
  <c r="W158" i="4"/>
  <c r="AE158" i="4"/>
  <c r="AZ158" i="4"/>
  <c r="CN158" i="4"/>
  <c r="CP158" i="4"/>
  <c r="CQ158" i="4"/>
  <c r="CR158" i="4"/>
  <c r="CS158" i="4"/>
  <c r="DN158" i="4"/>
  <c r="E157" i="4"/>
  <c r="I157" i="4"/>
  <c r="J157" i="4"/>
  <c r="W157" i="4"/>
  <c r="AE157" i="4"/>
  <c r="AZ157" i="4"/>
  <c r="CN157" i="4"/>
  <c r="CS157" i="4" s="1"/>
  <c r="CP157" i="4"/>
  <c r="CQ157" i="4"/>
  <c r="CR157" i="4"/>
  <c r="DN157" i="4"/>
  <c r="E159" i="4"/>
  <c r="I159" i="4"/>
  <c r="J159" i="4"/>
  <c r="W159" i="4"/>
  <c r="AE159" i="4"/>
  <c r="AZ159" i="4"/>
  <c r="CN159" i="4"/>
  <c r="CP159" i="4"/>
  <c r="CQ159" i="4"/>
  <c r="CR159" i="4"/>
  <c r="CS159" i="4"/>
  <c r="DN159" i="4"/>
  <c r="CT158" i="4" l="1"/>
  <c r="CV158" i="4" s="1"/>
  <c r="CT157" i="4"/>
  <c r="CV157" i="4" s="1"/>
  <c r="CT159" i="4"/>
  <c r="CV159" i="4" s="1"/>
  <c r="AZ146" i="4"/>
  <c r="E156" i="4" l="1"/>
  <c r="I156" i="4"/>
  <c r="J156" i="4"/>
  <c r="W156" i="4"/>
  <c r="AE156" i="4"/>
  <c r="AZ156" i="4"/>
  <c r="CN156" i="4"/>
  <c r="CS156" i="4" s="1"/>
  <c r="CP156" i="4"/>
  <c r="CQ156" i="4"/>
  <c r="CR156" i="4"/>
  <c r="DN156" i="4"/>
  <c r="CT156" i="4" l="1"/>
  <c r="CV156" i="4" s="1"/>
  <c r="E154" i="4"/>
  <c r="I154" i="4"/>
  <c r="J154" i="4"/>
  <c r="W154" i="4"/>
  <c r="AE154" i="4"/>
  <c r="CN154" i="4"/>
  <c r="CP154" i="4"/>
  <c r="CQ154" i="4"/>
  <c r="CR154" i="4"/>
  <c r="CS154" i="4"/>
  <c r="DN154" i="4"/>
  <c r="E155" i="4"/>
  <c r="I155" i="4"/>
  <c r="J155" i="4"/>
  <c r="W155" i="4"/>
  <c r="AE155" i="4"/>
  <c r="AZ155" i="4"/>
  <c r="CN155" i="4"/>
  <c r="CS155" i="4" s="1"/>
  <c r="CP155" i="4"/>
  <c r="CQ155" i="4"/>
  <c r="CR155" i="4"/>
  <c r="DN155" i="4"/>
  <c r="CT154" i="4" l="1"/>
  <c r="CV154" i="4" s="1"/>
  <c r="CT155" i="4"/>
  <c r="CV155" i="4" s="1"/>
  <c r="E153" i="4" l="1"/>
  <c r="I153" i="4"/>
  <c r="J153" i="4"/>
  <c r="W153" i="4"/>
  <c r="AE153" i="4"/>
  <c r="AZ153" i="4"/>
  <c r="CN153" i="4"/>
  <c r="CS153" i="4" s="1"/>
  <c r="CP153" i="4"/>
  <c r="CQ153" i="4"/>
  <c r="CR153" i="4"/>
  <c r="DN153" i="4"/>
  <c r="CT153" i="4" l="1"/>
  <c r="CV153" i="4" s="1"/>
  <c r="E152" i="4"/>
  <c r="I152" i="4"/>
  <c r="J152" i="4"/>
  <c r="W152" i="4"/>
  <c r="AE152" i="4"/>
  <c r="AZ152" i="4"/>
  <c r="CN152" i="4"/>
  <c r="CS152" i="4" s="1"/>
  <c r="CP152" i="4"/>
  <c r="CQ152" i="4"/>
  <c r="CR152" i="4"/>
  <c r="DN152" i="4"/>
  <c r="J150" i="4"/>
  <c r="CT152" i="4" l="1"/>
  <c r="CV152" i="4" s="1"/>
  <c r="J146" i="4"/>
  <c r="J147" i="4"/>
  <c r="J148" i="4"/>
  <c r="J149" i="4"/>
  <c r="AZ148" i="4" l="1"/>
  <c r="J145" i="4"/>
  <c r="E151" i="4" l="1"/>
  <c r="I151" i="4"/>
  <c r="J151" i="4"/>
  <c r="W151" i="4"/>
  <c r="AE151" i="4"/>
  <c r="AZ151" i="4"/>
  <c r="CN151" i="4"/>
  <c r="CP151" i="4"/>
  <c r="CQ151" i="4"/>
  <c r="CR151" i="4"/>
  <c r="CS151" i="4"/>
  <c r="DN151" i="4"/>
  <c r="E145" i="4"/>
  <c r="I145" i="4"/>
  <c r="W145" i="4"/>
  <c r="AE145" i="4"/>
  <c r="AZ145" i="4"/>
  <c r="CN145" i="4"/>
  <c r="CP145" i="4"/>
  <c r="CQ145" i="4"/>
  <c r="CR145" i="4"/>
  <c r="CS145" i="4"/>
  <c r="DN145" i="4"/>
  <c r="E146" i="4"/>
  <c r="I146" i="4"/>
  <c r="W146" i="4"/>
  <c r="AE146" i="4"/>
  <c r="CN146" i="4"/>
  <c r="CS146" i="4" s="1"/>
  <c r="CP146" i="4"/>
  <c r="CQ146" i="4"/>
  <c r="CR146" i="4"/>
  <c r="DN146" i="4"/>
  <c r="E147" i="4"/>
  <c r="I147" i="4"/>
  <c r="W147" i="4"/>
  <c r="AE147" i="4"/>
  <c r="AZ147" i="4"/>
  <c r="CN147" i="4"/>
  <c r="CP147" i="4"/>
  <c r="CQ147" i="4"/>
  <c r="CR147" i="4"/>
  <c r="CS147" i="4"/>
  <c r="DN147" i="4"/>
  <c r="E148" i="4"/>
  <c r="I148" i="4"/>
  <c r="W148" i="4"/>
  <c r="AE148" i="4"/>
  <c r="CN148" i="4"/>
  <c r="CS148" i="4" s="1"/>
  <c r="CP148" i="4"/>
  <c r="CQ148" i="4"/>
  <c r="CR148" i="4"/>
  <c r="DN148" i="4"/>
  <c r="E149" i="4"/>
  <c r="I149" i="4"/>
  <c r="W149" i="4"/>
  <c r="AE149" i="4"/>
  <c r="AZ149" i="4"/>
  <c r="CN149" i="4"/>
  <c r="CS149" i="4" s="1"/>
  <c r="CP149" i="4"/>
  <c r="CQ149" i="4"/>
  <c r="CR149" i="4"/>
  <c r="DN149" i="4"/>
  <c r="E150" i="4"/>
  <c r="I150" i="4"/>
  <c r="W150" i="4"/>
  <c r="AE150" i="4"/>
  <c r="AZ150" i="4"/>
  <c r="CN150" i="4"/>
  <c r="CS150" i="4" s="1"/>
  <c r="CP150" i="4"/>
  <c r="CQ150" i="4"/>
  <c r="CR150" i="4"/>
  <c r="DN150" i="4"/>
  <c r="E144" i="4"/>
  <c r="I144" i="4"/>
  <c r="J144" i="4"/>
  <c r="W144" i="4"/>
  <c r="AE144" i="4"/>
  <c r="AZ144" i="4"/>
  <c r="CN144" i="4"/>
  <c r="CP144" i="4"/>
  <c r="CQ144" i="4"/>
  <c r="CR144" i="4"/>
  <c r="CS144" i="4"/>
  <c r="DN144" i="4"/>
  <c r="CT150" i="4" l="1"/>
  <c r="CV150" i="4" s="1"/>
  <c r="CT145" i="4"/>
  <c r="CV145" i="4" s="1"/>
  <c r="CT151" i="4"/>
  <c r="CV151" i="4" s="1"/>
  <c r="CT149" i="4"/>
  <c r="CV149" i="4" s="1"/>
  <c r="CT148" i="4"/>
  <c r="CV148" i="4" s="1"/>
  <c r="CT147" i="4"/>
  <c r="CV147" i="4" s="1"/>
  <c r="CT146" i="4"/>
  <c r="CV146" i="4" s="1"/>
  <c r="CT144" i="4"/>
  <c r="CV144" i="4" s="1"/>
  <c r="E143" i="4"/>
  <c r="I143" i="4"/>
  <c r="J143" i="4"/>
  <c r="W143" i="4"/>
  <c r="AE143" i="4"/>
  <c r="AZ143" i="4"/>
  <c r="CN143" i="4"/>
  <c r="CS143" i="4" s="1"/>
  <c r="CP143" i="4"/>
  <c r="CQ143" i="4"/>
  <c r="CR143" i="4"/>
  <c r="DN143" i="4"/>
  <c r="E140" i="4"/>
  <c r="I140" i="4"/>
  <c r="J140" i="4"/>
  <c r="W140" i="4"/>
  <c r="AE140" i="4"/>
  <c r="AZ140" i="4"/>
  <c r="CN140" i="4"/>
  <c r="CP140" i="4"/>
  <c r="CQ140" i="4"/>
  <c r="CR140" i="4"/>
  <c r="CS140" i="4"/>
  <c r="DN140" i="4"/>
  <c r="E141" i="4"/>
  <c r="I141" i="4"/>
  <c r="J141" i="4"/>
  <c r="W141" i="4"/>
  <c r="AE141" i="4"/>
  <c r="AZ141" i="4"/>
  <c r="CN141" i="4"/>
  <c r="CS141" i="4" s="1"/>
  <c r="CP141" i="4"/>
  <c r="CQ141" i="4"/>
  <c r="CR141" i="4"/>
  <c r="DN141" i="4"/>
  <c r="E142" i="4"/>
  <c r="I142" i="4"/>
  <c r="J142" i="4"/>
  <c r="W142" i="4"/>
  <c r="AE142" i="4"/>
  <c r="AZ142" i="4"/>
  <c r="CN142" i="4"/>
  <c r="CS142" i="4" s="1"/>
  <c r="CP142" i="4"/>
  <c r="CQ142" i="4"/>
  <c r="CR142" i="4"/>
  <c r="DN142" i="4"/>
  <c r="CT142" i="4" l="1"/>
  <c r="CV142" i="4" s="1"/>
  <c r="CT143" i="4"/>
  <c r="CV143" i="4" s="1"/>
  <c r="CT140" i="4"/>
  <c r="CV140" i="4" s="1"/>
  <c r="CT141" i="4"/>
  <c r="CV141" i="4" s="1"/>
  <c r="H132" i="4"/>
  <c r="H133" i="4"/>
  <c r="H134" i="4"/>
  <c r="H135" i="4"/>
  <c r="H136" i="4"/>
  <c r="H137" i="4"/>
  <c r="H138" i="4"/>
  <c r="H139" i="4"/>
  <c r="E139" i="4" l="1"/>
  <c r="I139" i="4"/>
  <c r="J139" i="4"/>
  <c r="W139" i="4"/>
  <c r="AE139" i="4"/>
  <c r="AZ139" i="4"/>
  <c r="CN139" i="4"/>
  <c r="CS139" i="4" s="1"/>
  <c r="CP139" i="4"/>
  <c r="CQ139" i="4"/>
  <c r="CR139" i="4"/>
  <c r="DN139" i="4"/>
  <c r="CT139" i="4" l="1"/>
  <c r="CV139" i="4" s="1"/>
  <c r="DN138" i="4"/>
  <c r="E138" i="4" l="1"/>
  <c r="I138" i="4"/>
  <c r="J138" i="4"/>
  <c r="W138" i="4"/>
  <c r="AE138" i="4"/>
  <c r="AZ138" i="4"/>
  <c r="CN138" i="4"/>
  <c r="CS138" i="4" s="1"/>
  <c r="CP138" i="4"/>
  <c r="CQ138" i="4"/>
  <c r="CR138" i="4"/>
  <c r="E136" i="4"/>
  <c r="I136" i="4"/>
  <c r="J136" i="4"/>
  <c r="W136" i="4"/>
  <c r="AE136" i="4"/>
  <c r="AZ136" i="4"/>
  <c r="CN136" i="4"/>
  <c r="CP136" i="4"/>
  <c r="CQ136" i="4"/>
  <c r="CR136" i="4"/>
  <c r="CS136" i="4"/>
  <c r="DN136" i="4"/>
  <c r="E137" i="4"/>
  <c r="I137" i="4"/>
  <c r="J137" i="4"/>
  <c r="W137" i="4"/>
  <c r="AE137" i="4"/>
  <c r="AZ137" i="4"/>
  <c r="CN137" i="4"/>
  <c r="CS137" i="4" s="1"/>
  <c r="CP137" i="4"/>
  <c r="CQ137" i="4"/>
  <c r="CR137" i="4"/>
  <c r="DN137" i="4"/>
  <c r="DN135" i="4"/>
  <c r="E134" i="4"/>
  <c r="I134" i="4"/>
  <c r="J134" i="4"/>
  <c r="W134" i="4"/>
  <c r="AE134" i="4"/>
  <c r="AZ134" i="4"/>
  <c r="CN134" i="4"/>
  <c r="CS134" i="4" s="1"/>
  <c r="CP134" i="4"/>
  <c r="CQ134" i="4"/>
  <c r="CR134" i="4"/>
  <c r="DN134" i="4"/>
  <c r="E135" i="4"/>
  <c r="I135" i="4"/>
  <c r="J135" i="4"/>
  <c r="W135" i="4"/>
  <c r="AE135" i="4"/>
  <c r="AZ135" i="4"/>
  <c r="CN135" i="4"/>
  <c r="CS135" i="4" s="1"/>
  <c r="CP135" i="4"/>
  <c r="CQ135" i="4"/>
  <c r="CR135" i="4"/>
  <c r="CT137" i="4" l="1"/>
  <c r="CV137" i="4" s="1"/>
  <c r="CT136" i="4"/>
  <c r="CV136" i="4" s="1"/>
  <c r="CT138" i="4"/>
  <c r="CV138" i="4" s="1"/>
  <c r="CT134" i="4"/>
  <c r="CV134" i="4" s="1"/>
  <c r="CT135" i="4"/>
  <c r="CV135" i="4" s="1"/>
  <c r="AZ132" i="4"/>
  <c r="H131" i="4" l="1"/>
  <c r="E131" i="4" l="1"/>
  <c r="I131" i="4"/>
  <c r="J131" i="4"/>
  <c r="W131" i="4"/>
  <c r="AE131" i="4"/>
  <c r="AZ131" i="4"/>
  <c r="CN131" i="4"/>
  <c r="CP131" i="4"/>
  <c r="CQ131" i="4"/>
  <c r="CR131" i="4"/>
  <c r="DN131" i="4"/>
  <c r="E132" i="4"/>
  <c r="I132" i="4"/>
  <c r="J132" i="4"/>
  <c r="W132" i="4"/>
  <c r="AE132" i="4"/>
  <c r="CN132" i="4"/>
  <c r="CP132" i="4"/>
  <c r="CQ132" i="4"/>
  <c r="CR132" i="4"/>
  <c r="CS132" i="4"/>
  <c r="DN132" i="4"/>
  <c r="E133" i="4"/>
  <c r="I133" i="4"/>
  <c r="J133" i="4"/>
  <c r="W133" i="4"/>
  <c r="AE133" i="4"/>
  <c r="AZ133" i="4"/>
  <c r="CN133" i="4"/>
  <c r="CS133" i="4" s="1"/>
  <c r="CP133" i="4"/>
  <c r="CQ133" i="4"/>
  <c r="CR133" i="4"/>
  <c r="DN133" i="4"/>
  <c r="H129" i="4"/>
  <c r="H130" i="4"/>
  <c r="CS131" i="4" l="1"/>
  <c r="CT131" i="4" s="1"/>
  <c r="CV131" i="4" s="1"/>
  <c r="CT132" i="4"/>
  <c r="CV132" i="4" s="1"/>
  <c r="CT133" i="4"/>
  <c r="CV133" i="4" s="1"/>
  <c r="E130" i="4"/>
  <c r="I130" i="4"/>
  <c r="J130" i="4"/>
  <c r="W130" i="4"/>
  <c r="AE130" i="4"/>
  <c r="AZ130" i="4"/>
  <c r="CN130" i="4"/>
  <c r="CS130" i="4" s="1"/>
  <c r="CP130" i="4"/>
  <c r="CQ130" i="4"/>
  <c r="CR130" i="4"/>
  <c r="DN130" i="4"/>
  <c r="CT130" i="4" l="1"/>
  <c r="CV130" i="4" s="1"/>
  <c r="CN129" i="4"/>
  <c r="E129" i="4" l="1"/>
  <c r="I129" i="4"/>
  <c r="J129" i="4"/>
  <c r="W129" i="4"/>
  <c r="AE129" i="4"/>
  <c r="AZ129" i="4"/>
  <c r="CS129" i="4"/>
  <c r="CP129" i="4"/>
  <c r="CQ129" i="4"/>
  <c r="CR129" i="4"/>
  <c r="DN129" i="4"/>
  <c r="CT129" i="4" l="1"/>
  <c r="CV129" i="4" s="1"/>
  <c r="H128" i="4"/>
  <c r="H118" i="4"/>
  <c r="H119" i="4"/>
  <c r="H120" i="4"/>
  <c r="H121" i="4"/>
  <c r="H122" i="4"/>
  <c r="H123" i="4"/>
  <c r="H124" i="4"/>
  <c r="H125" i="4"/>
  <c r="H126" i="4"/>
  <c r="H127" i="4"/>
  <c r="CN128" i="4" l="1"/>
  <c r="CS128" i="4" s="1"/>
  <c r="AZ128" i="4"/>
  <c r="E128" i="4" l="1"/>
  <c r="I128" i="4"/>
  <c r="J128" i="4"/>
  <c r="W128" i="4"/>
  <c r="AE128" i="4"/>
  <c r="CP128" i="4"/>
  <c r="CQ128" i="4"/>
  <c r="CR128" i="4"/>
  <c r="DN128" i="4"/>
  <c r="CT128" i="4" l="1"/>
  <c r="CV128" i="4" s="1"/>
  <c r="E127" i="4"/>
  <c r="I127" i="4"/>
  <c r="J127" i="4"/>
  <c r="W127" i="4"/>
  <c r="AE127" i="4"/>
  <c r="AZ127" i="4"/>
  <c r="CN127" i="4"/>
  <c r="CS127" i="4" s="1"/>
  <c r="CP127" i="4"/>
  <c r="CQ127" i="4"/>
  <c r="CR127" i="4"/>
  <c r="DN127" i="4"/>
  <c r="E126" i="4"/>
  <c r="I126" i="4"/>
  <c r="J126" i="4"/>
  <c r="W126" i="4"/>
  <c r="AE126" i="4"/>
  <c r="AZ126" i="4"/>
  <c r="CN126" i="4"/>
  <c r="CS126" i="4" s="1"/>
  <c r="CP126" i="4"/>
  <c r="CQ126" i="4"/>
  <c r="CR126" i="4"/>
  <c r="DN126" i="4"/>
  <c r="E125" i="4"/>
  <c r="I125" i="4"/>
  <c r="J125" i="4"/>
  <c r="W125" i="4"/>
  <c r="AE125" i="4"/>
  <c r="AZ125" i="4"/>
  <c r="CN125" i="4"/>
  <c r="CS125" i="4" s="1"/>
  <c r="CP125" i="4"/>
  <c r="CQ125" i="4"/>
  <c r="CR125" i="4"/>
  <c r="DN125" i="4"/>
  <c r="CT127" i="4" l="1"/>
  <c r="CV127" i="4" s="1"/>
  <c r="CT126" i="4"/>
  <c r="CV126" i="4" s="1"/>
  <c r="CT125" i="4"/>
  <c r="CV125" i="4" s="1"/>
  <c r="E124" i="4"/>
  <c r="I124" i="4"/>
  <c r="J124" i="4"/>
  <c r="W124" i="4"/>
  <c r="AE124" i="4"/>
  <c r="AZ124" i="4"/>
  <c r="CN124" i="4"/>
  <c r="CP124" i="4"/>
  <c r="CQ124" i="4"/>
  <c r="CR124" i="4"/>
  <c r="CS124" i="4"/>
  <c r="DN124" i="4"/>
  <c r="CN123" i="4"/>
  <c r="CS123" i="4" s="1"/>
  <c r="E123" i="4"/>
  <c r="I123" i="4"/>
  <c r="J123" i="4"/>
  <c r="W123" i="4"/>
  <c r="AE123" i="4"/>
  <c r="AZ123" i="4"/>
  <c r="CP123" i="4"/>
  <c r="CQ123" i="4"/>
  <c r="CR123" i="4"/>
  <c r="DN123" i="4"/>
  <c r="CN122" i="4"/>
  <c r="CS122" i="4" s="1"/>
  <c r="E122" i="4"/>
  <c r="I122" i="4"/>
  <c r="J122" i="4"/>
  <c r="W122" i="4"/>
  <c r="AE122" i="4"/>
  <c r="AZ122" i="4"/>
  <c r="CP122" i="4"/>
  <c r="CQ122" i="4"/>
  <c r="CR122" i="4"/>
  <c r="DN122" i="4"/>
  <c r="E121" i="4"/>
  <c r="I121" i="4"/>
  <c r="J121" i="4"/>
  <c r="W121" i="4"/>
  <c r="AE121" i="4"/>
  <c r="AZ121" i="4"/>
  <c r="CN121" i="4"/>
  <c r="CS121" i="4" s="1"/>
  <c r="CP121" i="4"/>
  <c r="CQ121" i="4"/>
  <c r="CR121" i="4"/>
  <c r="DN121" i="4"/>
  <c r="E120" i="4"/>
  <c r="I120" i="4"/>
  <c r="J120" i="4"/>
  <c r="W120" i="4"/>
  <c r="AE120" i="4"/>
  <c r="AZ120" i="4"/>
  <c r="CN120" i="4"/>
  <c r="CS120" i="4" s="1"/>
  <c r="CP120" i="4"/>
  <c r="CQ120" i="4"/>
  <c r="CR120" i="4"/>
  <c r="DN120" i="4"/>
  <c r="CT124" i="4" l="1"/>
  <c r="CV124" i="4" s="1"/>
  <c r="CT123" i="4"/>
  <c r="CV123" i="4" s="1"/>
  <c r="CT122" i="4"/>
  <c r="CV122" i="4" s="1"/>
  <c r="CT121" i="4"/>
  <c r="CV121" i="4" s="1"/>
  <c r="CT120" i="4"/>
  <c r="CV120" i="4" s="1"/>
  <c r="AE112" i="4"/>
  <c r="H109" i="4" l="1"/>
  <c r="H110" i="4"/>
  <c r="H111" i="4"/>
  <c r="H112" i="4"/>
  <c r="H113" i="4"/>
  <c r="H114" i="4"/>
  <c r="H115" i="4"/>
  <c r="H116" i="4"/>
  <c r="H117" i="4"/>
  <c r="H106" i="4"/>
  <c r="H107" i="4"/>
  <c r="H108" i="4"/>
  <c r="CN114" i="4" l="1"/>
  <c r="E109" i="4" l="1"/>
  <c r="I109" i="4"/>
  <c r="J109" i="4"/>
  <c r="W109" i="4"/>
  <c r="AE109" i="4"/>
  <c r="AZ109" i="4"/>
  <c r="CN109" i="4"/>
  <c r="CS109" i="4" s="1"/>
  <c r="CP109" i="4"/>
  <c r="CQ109" i="4"/>
  <c r="CR109" i="4"/>
  <c r="DN109" i="4"/>
  <c r="E110" i="4"/>
  <c r="I110" i="4"/>
  <c r="J110" i="4"/>
  <c r="W110" i="4"/>
  <c r="AE110" i="4"/>
  <c r="AZ110" i="4"/>
  <c r="CN110" i="4"/>
  <c r="CS110" i="4" s="1"/>
  <c r="CP110" i="4"/>
  <c r="CQ110" i="4"/>
  <c r="CR110" i="4"/>
  <c r="DN110" i="4"/>
  <c r="E111" i="4"/>
  <c r="I111" i="4"/>
  <c r="J111" i="4"/>
  <c r="W111" i="4"/>
  <c r="AE111" i="4"/>
  <c r="AZ111" i="4"/>
  <c r="CN111" i="4"/>
  <c r="CS111" i="4" s="1"/>
  <c r="CP111" i="4"/>
  <c r="CQ111" i="4"/>
  <c r="CR111" i="4"/>
  <c r="DN111" i="4"/>
  <c r="E112" i="4"/>
  <c r="I112" i="4"/>
  <c r="J112" i="4"/>
  <c r="W112" i="4"/>
  <c r="AZ112" i="4"/>
  <c r="CN112" i="4"/>
  <c r="CS112" i="4" s="1"/>
  <c r="CP112" i="4"/>
  <c r="CQ112" i="4"/>
  <c r="CR112" i="4"/>
  <c r="DN112" i="4"/>
  <c r="E113" i="4"/>
  <c r="I113" i="4"/>
  <c r="J113" i="4"/>
  <c r="W113" i="4"/>
  <c r="AE113" i="4"/>
  <c r="AZ113" i="4"/>
  <c r="CN113" i="4"/>
  <c r="CS113" i="4" s="1"/>
  <c r="CP113" i="4"/>
  <c r="CQ113" i="4"/>
  <c r="CR113" i="4"/>
  <c r="DN113" i="4"/>
  <c r="E114" i="4"/>
  <c r="I114" i="4"/>
  <c r="J114" i="4"/>
  <c r="W114" i="4"/>
  <c r="AE114" i="4"/>
  <c r="AZ114" i="4"/>
  <c r="CS114" i="4"/>
  <c r="CP114" i="4"/>
  <c r="CQ114" i="4"/>
  <c r="CR114" i="4"/>
  <c r="DN114" i="4"/>
  <c r="E115" i="4"/>
  <c r="I115" i="4"/>
  <c r="J115" i="4"/>
  <c r="W115" i="4"/>
  <c r="AE115" i="4"/>
  <c r="AZ115" i="4"/>
  <c r="CN115" i="4"/>
  <c r="CS115" i="4" s="1"/>
  <c r="CP115" i="4"/>
  <c r="CQ115" i="4"/>
  <c r="CR115" i="4"/>
  <c r="DN115" i="4"/>
  <c r="E116" i="4"/>
  <c r="I116" i="4"/>
  <c r="J116" i="4"/>
  <c r="W116" i="4"/>
  <c r="AE116" i="4"/>
  <c r="AZ116" i="4"/>
  <c r="CN116" i="4"/>
  <c r="CS116" i="4" s="1"/>
  <c r="CP116" i="4"/>
  <c r="CQ116" i="4"/>
  <c r="CR116" i="4"/>
  <c r="DN116" i="4"/>
  <c r="E117" i="4"/>
  <c r="I117" i="4"/>
  <c r="J117" i="4"/>
  <c r="W117" i="4"/>
  <c r="AE117" i="4"/>
  <c r="AZ117" i="4"/>
  <c r="CN117" i="4"/>
  <c r="CP117" i="4"/>
  <c r="CQ117" i="4"/>
  <c r="CR117" i="4"/>
  <c r="CS117" i="4"/>
  <c r="DN117" i="4"/>
  <c r="E118" i="4"/>
  <c r="I118" i="4"/>
  <c r="J118" i="4"/>
  <c r="W118" i="4"/>
  <c r="AE118" i="4"/>
  <c r="AZ118" i="4"/>
  <c r="CN118" i="4"/>
  <c r="CS118" i="4" s="1"/>
  <c r="CP118" i="4"/>
  <c r="CQ118" i="4"/>
  <c r="CR118" i="4"/>
  <c r="DN118" i="4"/>
  <c r="E119" i="4"/>
  <c r="I119" i="4"/>
  <c r="J119" i="4"/>
  <c r="W119" i="4"/>
  <c r="AE119" i="4"/>
  <c r="AZ119" i="4"/>
  <c r="CN119" i="4"/>
  <c r="CS119" i="4" s="1"/>
  <c r="CP119" i="4"/>
  <c r="CQ119" i="4"/>
  <c r="CR119" i="4"/>
  <c r="DN119" i="4"/>
  <c r="CT113" i="4" l="1"/>
  <c r="CV113" i="4" s="1"/>
  <c r="CT112" i="4"/>
  <c r="CV112" i="4" s="1"/>
  <c r="CT111" i="4"/>
  <c r="CV111" i="4" s="1"/>
  <c r="CT110" i="4"/>
  <c r="CV110" i="4" s="1"/>
  <c r="CT109" i="4"/>
  <c r="CV109" i="4" s="1"/>
  <c r="CT119" i="4"/>
  <c r="CV119" i="4" s="1"/>
  <c r="CT118" i="4"/>
  <c r="CV118" i="4" s="1"/>
  <c r="CT116" i="4"/>
  <c r="CV116" i="4" s="1"/>
  <c r="CT115" i="4"/>
  <c r="CV115" i="4" s="1"/>
  <c r="CT117" i="4"/>
  <c r="CV117" i="4" s="1"/>
  <c r="CT114" i="4"/>
  <c r="CV114" i="4" s="1"/>
  <c r="E108" i="4"/>
  <c r="I108" i="4"/>
  <c r="J108" i="4"/>
  <c r="W108" i="4"/>
  <c r="AE108" i="4"/>
  <c r="AZ108" i="4"/>
  <c r="CN108" i="4"/>
  <c r="CS108" i="4" s="1"/>
  <c r="CP108" i="4"/>
  <c r="CQ108" i="4"/>
  <c r="CR108" i="4"/>
  <c r="DN108" i="4"/>
  <c r="E106" i="4"/>
  <c r="I106" i="4"/>
  <c r="J106" i="4"/>
  <c r="W106" i="4"/>
  <c r="AE106" i="4"/>
  <c r="AZ106" i="4"/>
  <c r="CN106" i="4"/>
  <c r="CP106" i="4"/>
  <c r="CQ106" i="4"/>
  <c r="CR106" i="4"/>
  <c r="CS106" i="4"/>
  <c r="DN106" i="4"/>
  <c r="E107" i="4"/>
  <c r="I107" i="4"/>
  <c r="J107" i="4"/>
  <c r="W107" i="4"/>
  <c r="AE107" i="4"/>
  <c r="AZ107" i="4"/>
  <c r="CN107" i="4"/>
  <c r="CP107" i="4"/>
  <c r="CQ107" i="4"/>
  <c r="CR107" i="4"/>
  <c r="CS107" i="4"/>
  <c r="DN107" i="4"/>
  <c r="CT108" i="4" l="1"/>
  <c r="CV108" i="4" s="1"/>
  <c r="CT106" i="4"/>
  <c r="CV106" i="4" s="1"/>
  <c r="CT107" i="4"/>
  <c r="CV107" i="4" s="1"/>
  <c r="H104" i="4"/>
  <c r="H105" i="4"/>
  <c r="H103" i="4"/>
  <c r="H96" i="4"/>
  <c r="H97" i="4"/>
  <c r="H98" i="4"/>
  <c r="H99" i="4"/>
  <c r="H100" i="4"/>
  <c r="H101" i="4"/>
  <c r="H102" i="4"/>
  <c r="E105" i="4" l="1"/>
  <c r="I105" i="4"/>
  <c r="J105" i="4"/>
  <c r="W105" i="4"/>
  <c r="AE105" i="4"/>
  <c r="AZ105" i="4"/>
  <c r="CN105" i="4"/>
  <c r="CS105" i="4" s="1"/>
  <c r="CP105" i="4"/>
  <c r="CQ105" i="4"/>
  <c r="CR105" i="4"/>
  <c r="DN105" i="4"/>
  <c r="E103" i="4"/>
  <c r="I103" i="4"/>
  <c r="J103" i="4"/>
  <c r="W103" i="4"/>
  <c r="AE103" i="4"/>
  <c r="AZ103" i="4"/>
  <c r="CN103" i="4"/>
  <c r="CS103" i="4" s="1"/>
  <c r="CP103" i="4"/>
  <c r="CQ103" i="4"/>
  <c r="CR103" i="4"/>
  <c r="DN103" i="4"/>
  <c r="E104" i="4"/>
  <c r="I104" i="4"/>
  <c r="J104" i="4"/>
  <c r="W104" i="4"/>
  <c r="AE104" i="4"/>
  <c r="AZ104" i="4"/>
  <c r="CN104" i="4"/>
  <c r="CS104" i="4" s="1"/>
  <c r="CP104" i="4"/>
  <c r="CQ104" i="4"/>
  <c r="CR104" i="4"/>
  <c r="DN104" i="4"/>
  <c r="CT103" i="4" l="1"/>
  <c r="CV103" i="4" s="1"/>
  <c r="CT105" i="4"/>
  <c r="CV105" i="4" s="1"/>
  <c r="CT104" i="4"/>
  <c r="CV104" i="4" s="1"/>
  <c r="E102" i="4"/>
  <c r="I102" i="4"/>
  <c r="J102" i="4"/>
  <c r="W102" i="4"/>
  <c r="AE102" i="4"/>
  <c r="AZ102" i="4"/>
  <c r="CN102" i="4"/>
  <c r="CS102" i="4" s="1"/>
  <c r="CP102" i="4"/>
  <c r="CQ102" i="4"/>
  <c r="CR102" i="4"/>
  <c r="DN102" i="4"/>
  <c r="E101" i="4"/>
  <c r="I101" i="4"/>
  <c r="J101" i="4"/>
  <c r="W101" i="4"/>
  <c r="AE101" i="4"/>
  <c r="AZ101" i="4"/>
  <c r="CN101" i="4"/>
  <c r="CP101" i="4"/>
  <c r="CQ101" i="4"/>
  <c r="CR101" i="4"/>
  <c r="DN101" i="4"/>
  <c r="E100" i="4"/>
  <c r="I100" i="4"/>
  <c r="J100" i="4"/>
  <c r="W100" i="4"/>
  <c r="AE100" i="4"/>
  <c r="AZ100" i="4"/>
  <c r="CN100" i="4"/>
  <c r="CS100" i="4" s="1"/>
  <c r="CP100" i="4"/>
  <c r="CQ100" i="4"/>
  <c r="CR100" i="4"/>
  <c r="DN100" i="4"/>
  <c r="DN98" i="4"/>
  <c r="E99" i="4"/>
  <c r="I99" i="4"/>
  <c r="J99" i="4"/>
  <c r="W99" i="4"/>
  <c r="AE99" i="4"/>
  <c r="AZ99" i="4"/>
  <c r="CN99" i="4"/>
  <c r="CS99" i="4" s="1"/>
  <c r="CP99" i="4"/>
  <c r="CQ99" i="4"/>
  <c r="CR99" i="4"/>
  <c r="DN99" i="4"/>
  <c r="CS101" i="4" l="1"/>
  <c r="CT101" i="4" s="1"/>
  <c r="CV101" i="4" s="1"/>
  <c r="CT102" i="4"/>
  <c r="CV102" i="4" s="1"/>
  <c r="CT100" i="4"/>
  <c r="CV100" i="4" s="1"/>
  <c r="CT99" i="4"/>
  <c r="CV99" i="4" s="1"/>
  <c r="E98" i="4"/>
  <c r="I98" i="4"/>
  <c r="J98" i="4"/>
  <c r="W98" i="4"/>
  <c r="AE98" i="4"/>
  <c r="AZ98" i="4"/>
  <c r="CN98" i="4"/>
  <c r="CS98" i="4" s="1"/>
  <c r="CP98" i="4"/>
  <c r="CQ98" i="4"/>
  <c r="CR98" i="4"/>
  <c r="CT98" i="4" l="1"/>
  <c r="CV98" i="4" s="1"/>
  <c r="E97" i="4"/>
  <c r="I97" i="4"/>
  <c r="J97" i="4"/>
  <c r="W97" i="4"/>
  <c r="AE97" i="4"/>
  <c r="AZ97" i="4"/>
  <c r="CN97" i="4"/>
  <c r="CS97" i="4" s="1"/>
  <c r="CP97" i="4"/>
  <c r="CQ97" i="4"/>
  <c r="CR97" i="4"/>
  <c r="DN97" i="4"/>
  <c r="E96" i="4"/>
  <c r="I96" i="4"/>
  <c r="J96" i="4"/>
  <c r="W96" i="4"/>
  <c r="AE96" i="4"/>
  <c r="AZ96" i="4"/>
  <c r="CN96" i="4"/>
  <c r="CS96" i="4" s="1"/>
  <c r="CP96" i="4"/>
  <c r="CQ96" i="4"/>
  <c r="CR96" i="4"/>
  <c r="DN96" i="4"/>
  <c r="CT97" i="4" l="1"/>
  <c r="CV97" i="4" s="1"/>
  <c r="CT96" i="4"/>
  <c r="CV96" i="4" s="1"/>
  <c r="H95" i="4"/>
  <c r="D164" i="4"/>
  <c r="E95" i="4"/>
  <c r="I95" i="4"/>
  <c r="J95" i="4"/>
  <c r="W95" i="4"/>
  <c r="AE95" i="4"/>
  <c r="AZ95" i="4"/>
  <c r="CN95" i="4"/>
  <c r="CS95" i="4" s="1"/>
  <c r="CP95" i="4"/>
  <c r="CQ95" i="4"/>
  <c r="CR95" i="4"/>
  <c r="DN95" i="4"/>
  <c r="CT95" i="4" l="1"/>
  <c r="CV95" i="4" s="1"/>
  <c r="H90" i="4"/>
  <c r="H91" i="4"/>
  <c r="H92" i="4"/>
  <c r="H93" i="4"/>
  <c r="H94" i="4"/>
  <c r="H78" i="4"/>
  <c r="H79" i="4"/>
  <c r="H80" i="4"/>
  <c r="H81" i="4"/>
  <c r="H82" i="4"/>
  <c r="H83" i="4"/>
  <c r="H84" i="4"/>
  <c r="H85" i="4"/>
  <c r="H86" i="4"/>
  <c r="H87" i="4"/>
  <c r="H88" i="4"/>
  <c r="H89" i="4"/>
  <c r="E90" i="4"/>
  <c r="I90" i="4"/>
  <c r="J90" i="4"/>
  <c r="W90" i="4"/>
  <c r="AE90" i="4"/>
  <c r="AZ90" i="4"/>
  <c r="CN90" i="4"/>
  <c r="CS90" i="4" s="1"/>
  <c r="CP90" i="4"/>
  <c r="CQ90" i="4"/>
  <c r="CR90" i="4"/>
  <c r="DN90" i="4"/>
  <c r="E91" i="4"/>
  <c r="I91" i="4"/>
  <c r="J91" i="4"/>
  <c r="W91" i="4"/>
  <c r="AE91" i="4"/>
  <c r="AZ91" i="4"/>
  <c r="CN91" i="4"/>
  <c r="CS91" i="4" s="1"/>
  <c r="CP91" i="4"/>
  <c r="CQ91" i="4"/>
  <c r="CR91" i="4"/>
  <c r="DN91" i="4"/>
  <c r="E92" i="4"/>
  <c r="I92" i="4"/>
  <c r="J92" i="4"/>
  <c r="W92" i="4"/>
  <c r="AE92" i="4"/>
  <c r="AZ92" i="4"/>
  <c r="CN92" i="4"/>
  <c r="CS92" i="4" s="1"/>
  <c r="CP92" i="4"/>
  <c r="CQ92" i="4"/>
  <c r="CR92" i="4"/>
  <c r="DN92" i="4"/>
  <c r="E93" i="4"/>
  <c r="I93" i="4"/>
  <c r="J93" i="4"/>
  <c r="W93" i="4"/>
  <c r="AE93" i="4"/>
  <c r="AZ93" i="4"/>
  <c r="CN93" i="4"/>
  <c r="CS93" i="4" s="1"/>
  <c r="CP93" i="4"/>
  <c r="CQ93" i="4"/>
  <c r="CR93" i="4"/>
  <c r="DN93" i="4"/>
  <c r="E94" i="4"/>
  <c r="I94" i="4"/>
  <c r="J94" i="4"/>
  <c r="W94" i="4"/>
  <c r="AE94" i="4"/>
  <c r="AZ94" i="4"/>
  <c r="CN94" i="4"/>
  <c r="CP94" i="4"/>
  <c r="CQ94" i="4"/>
  <c r="CR94" i="4"/>
  <c r="CS94" i="4"/>
  <c r="DN94" i="4"/>
  <c r="CT90" i="4" l="1"/>
  <c r="CV90" i="4" s="1"/>
  <c r="CT91" i="4"/>
  <c r="CV91" i="4" s="1"/>
  <c r="CT92" i="4"/>
  <c r="CV92" i="4" s="1"/>
  <c r="CT93" i="4"/>
  <c r="CV93" i="4" s="1"/>
  <c r="CT94" i="4"/>
  <c r="CV94" i="4" s="1"/>
  <c r="E89" i="4"/>
  <c r="I89" i="4"/>
  <c r="J89" i="4"/>
  <c r="W89" i="4"/>
  <c r="AE89" i="4"/>
  <c r="AZ89" i="4"/>
  <c r="CN89" i="4"/>
  <c r="CS89" i="4" s="1"/>
  <c r="CP89" i="4"/>
  <c r="CQ89" i="4"/>
  <c r="CR89" i="4"/>
  <c r="DN89" i="4"/>
  <c r="E88" i="4"/>
  <c r="I88" i="4"/>
  <c r="J88" i="4"/>
  <c r="W88" i="4"/>
  <c r="AE88" i="4"/>
  <c r="AZ88" i="4"/>
  <c r="CN88" i="4"/>
  <c r="CS88" i="4" s="1"/>
  <c r="CP88" i="4"/>
  <c r="CQ88" i="4"/>
  <c r="CR88" i="4"/>
  <c r="DN88" i="4"/>
  <c r="CT89" i="4" l="1"/>
  <c r="CV89" i="4" s="1"/>
  <c r="CT88" i="4"/>
  <c r="CV88" i="4" s="1"/>
  <c r="E87" i="4"/>
  <c r="I87" i="4"/>
  <c r="J87" i="4"/>
  <c r="W87" i="4"/>
  <c r="AE87" i="4"/>
  <c r="AZ87" i="4"/>
  <c r="CN87" i="4"/>
  <c r="CS87" i="4" s="1"/>
  <c r="CP87" i="4"/>
  <c r="CQ87" i="4"/>
  <c r="CR87" i="4"/>
  <c r="DN87" i="4"/>
  <c r="CT87" i="4" l="1"/>
  <c r="CV87" i="4" s="1"/>
  <c r="E86" i="4"/>
  <c r="I86" i="4"/>
  <c r="J86" i="4"/>
  <c r="W86" i="4"/>
  <c r="AE86" i="4"/>
  <c r="AZ86" i="4"/>
  <c r="CN86" i="4"/>
  <c r="CS86" i="4" s="1"/>
  <c r="CP86" i="4"/>
  <c r="CQ86" i="4"/>
  <c r="CR86" i="4"/>
  <c r="DN86" i="4"/>
  <c r="CT86" i="4" l="1"/>
  <c r="CV86" i="4" s="1"/>
  <c r="E84" i="4"/>
  <c r="I84" i="4"/>
  <c r="J84" i="4"/>
  <c r="W84" i="4"/>
  <c r="AE84" i="4"/>
  <c r="AZ84" i="4"/>
  <c r="CN84" i="4"/>
  <c r="CS84" i="4" s="1"/>
  <c r="CP84" i="4"/>
  <c r="CQ84" i="4"/>
  <c r="CR84" i="4"/>
  <c r="DN84" i="4"/>
  <c r="E85" i="4"/>
  <c r="I85" i="4"/>
  <c r="J85" i="4"/>
  <c r="W85" i="4"/>
  <c r="AE85" i="4"/>
  <c r="AZ85" i="4"/>
  <c r="CN85" i="4"/>
  <c r="CS85" i="4" s="1"/>
  <c r="CP85" i="4"/>
  <c r="CQ85" i="4"/>
  <c r="CR85" i="4"/>
  <c r="DN85" i="4"/>
  <c r="CT84" i="4" l="1"/>
  <c r="CV84" i="4" s="1"/>
  <c r="CT85" i="4"/>
  <c r="CV85" i="4" s="1"/>
  <c r="E83" i="4"/>
  <c r="I83" i="4"/>
  <c r="J83" i="4"/>
  <c r="W83" i="4"/>
  <c r="AE83" i="4"/>
  <c r="AZ83" i="4"/>
  <c r="CN83" i="4"/>
  <c r="CS83" i="4" s="1"/>
  <c r="CP83" i="4"/>
  <c r="CQ83" i="4"/>
  <c r="CR83" i="4"/>
  <c r="DN83" i="4"/>
  <c r="E82" i="4"/>
  <c r="I82" i="4"/>
  <c r="J82" i="4"/>
  <c r="W82" i="4"/>
  <c r="AE82" i="4"/>
  <c r="AZ82" i="4"/>
  <c r="CN82" i="4"/>
  <c r="CS82" i="4" s="1"/>
  <c r="CP82" i="4"/>
  <c r="CQ82" i="4"/>
  <c r="CR82" i="4"/>
  <c r="DN82" i="4"/>
  <c r="CT83" i="4" l="1"/>
  <c r="CV83" i="4" s="1"/>
  <c r="CT82" i="4"/>
  <c r="CV82" i="4" s="1"/>
  <c r="E81" i="4"/>
  <c r="I81" i="4"/>
  <c r="J81" i="4"/>
  <c r="W81" i="4"/>
  <c r="AE81" i="4"/>
  <c r="AZ81" i="4"/>
  <c r="CN81" i="4"/>
  <c r="CS81" i="4" s="1"/>
  <c r="CP81" i="4"/>
  <c r="CQ81" i="4"/>
  <c r="CR81" i="4"/>
  <c r="DN81" i="4"/>
  <c r="E80" i="4"/>
  <c r="I80" i="4"/>
  <c r="J80" i="4"/>
  <c r="W80" i="4"/>
  <c r="AE80" i="4"/>
  <c r="AZ80" i="4"/>
  <c r="CN80" i="4"/>
  <c r="CS80" i="4" s="1"/>
  <c r="CP80" i="4"/>
  <c r="CQ80" i="4"/>
  <c r="CR80" i="4"/>
  <c r="DN80" i="4"/>
  <c r="CT81" i="4" l="1"/>
  <c r="CV81" i="4" s="1"/>
  <c r="CT80" i="4"/>
  <c r="CV80" i="4" s="1"/>
  <c r="CN79" i="4"/>
  <c r="CS79" i="4" s="1"/>
  <c r="E79" i="4"/>
  <c r="I79" i="4"/>
  <c r="J79" i="4"/>
  <c r="W79" i="4"/>
  <c r="AE79" i="4"/>
  <c r="AZ79" i="4"/>
  <c r="CP79" i="4"/>
  <c r="CQ79" i="4"/>
  <c r="CR79" i="4"/>
  <c r="DN79" i="4"/>
  <c r="CT79" i="4" l="1"/>
  <c r="CV79" i="4" s="1"/>
  <c r="CN78" i="4"/>
  <c r="CS78" i="4" s="1"/>
  <c r="E78" i="4"/>
  <c r="I78" i="4"/>
  <c r="J78" i="4"/>
  <c r="W78" i="4"/>
  <c r="AE78" i="4"/>
  <c r="AZ78" i="4"/>
  <c r="CP78" i="4"/>
  <c r="CQ78" i="4"/>
  <c r="CR78" i="4"/>
  <c r="DN78" i="4"/>
  <c r="CT78" i="4" l="1"/>
  <c r="CV78" i="4" s="1"/>
  <c r="H77" i="4"/>
  <c r="E77" i="4"/>
  <c r="I77" i="4"/>
  <c r="J77" i="4"/>
  <c r="W77" i="4"/>
  <c r="AE77" i="4"/>
  <c r="AZ77" i="4"/>
  <c r="CN77" i="4"/>
  <c r="CS77" i="4" s="1"/>
  <c r="CP77" i="4"/>
  <c r="CQ77" i="4"/>
  <c r="CR77" i="4"/>
  <c r="DN77" i="4"/>
  <c r="CT77" i="4" l="1"/>
  <c r="CV77" i="4" s="1"/>
  <c r="CN76" i="4"/>
  <c r="H76" i="4"/>
  <c r="H68" i="4"/>
  <c r="H69" i="4"/>
  <c r="H70" i="4"/>
  <c r="H71" i="4"/>
  <c r="H72" i="4"/>
  <c r="H73" i="4"/>
  <c r="H74" i="4"/>
  <c r="H75" i="4"/>
  <c r="H61" i="4"/>
  <c r="H62" i="4"/>
  <c r="H63" i="4"/>
  <c r="H64" i="4"/>
  <c r="H65" i="4"/>
  <c r="H66" i="4"/>
  <c r="H67" i="4"/>
  <c r="AZ74" i="4"/>
  <c r="E76" i="4"/>
  <c r="I76" i="4"/>
  <c r="J76" i="4"/>
  <c r="W76" i="4"/>
  <c r="AE76" i="4"/>
  <c r="AZ76" i="4"/>
  <c r="CS76" i="4"/>
  <c r="CP76" i="4"/>
  <c r="CQ76" i="4"/>
  <c r="CR76" i="4"/>
  <c r="DN76" i="4"/>
  <c r="CT76" i="4" l="1"/>
  <c r="CV76" i="4" s="1"/>
  <c r="CN74" i="4"/>
  <c r="CS74" i="4" s="1"/>
  <c r="CN73" i="4"/>
  <c r="CS73" i="4" s="1"/>
  <c r="E73" i="4"/>
  <c r="I73" i="4"/>
  <c r="J73" i="4"/>
  <c r="W73" i="4"/>
  <c r="AE73" i="4"/>
  <c r="AZ73" i="4"/>
  <c r="CP73" i="4"/>
  <c r="CQ73" i="4"/>
  <c r="CR73" i="4"/>
  <c r="DN73" i="4"/>
  <c r="E74" i="4"/>
  <c r="I74" i="4"/>
  <c r="J74" i="4"/>
  <c r="W74" i="4"/>
  <c r="AE74" i="4"/>
  <c r="CP74" i="4"/>
  <c r="CQ74" i="4"/>
  <c r="CR74" i="4"/>
  <c r="DN74" i="4"/>
  <c r="E75" i="4"/>
  <c r="I75" i="4"/>
  <c r="J75" i="4"/>
  <c r="W75" i="4"/>
  <c r="AE75" i="4"/>
  <c r="AZ75" i="4"/>
  <c r="CN75" i="4"/>
  <c r="CS75" i="4" s="1"/>
  <c r="CP75" i="4"/>
  <c r="CQ75" i="4"/>
  <c r="CR75" i="4"/>
  <c r="DN75" i="4"/>
  <c r="CT73" i="4" l="1"/>
  <c r="CV73" i="4" s="1"/>
  <c r="CT74" i="4"/>
  <c r="CV74" i="4" s="1"/>
  <c r="CT75" i="4"/>
  <c r="CV75" i="4" s="1"/>
  <c r="E72" i="4"/>
  <c r="I72" i="4" l="1"/>
  <c r="J72" i="4"/>
  <c r="W72" i="4"/>
  <c r="AE72" i="4"/>
  <c r="AZ72" i="4"/>
  <c r="CN72" i="4"/>
  <c r="CS72" i="4" s="1"/>
  <c r="CP72" i="4"/>
  <c r="CQ72" i="4"/>
  <c r="CR72" i="4"/>
  <c r="DN72" i="4"/>
  <c r="E71" i="4"/>
  <c r="I71" i="4"/>
  <c r="J71" i="4"/>
  <c r="W71" i="4"/>
  <c r="AE71" i="4"/>
  <c r="AZ71" i="4"/>
  <c r="CN71" i="4"/>
  <c r="CS71" i="4" s="1"/>
  <c r="CP71" i="4"/>
  <c r="CQ71" i="4"/>
  <c r="CR71" i="4"/>
  <c r="DN71" i="4"/>
  <c r="CT72" i="4" l="1"/>
  <c r="CV72" i="4" s="1"/>
  <c r="CT71" i="4"/>
  <c r="CV71" i="4" s="1"/>
  <c r="E70" i="4"/>
  <c r="I70" i="4"/>
  <c r="J70" i="4"/>
  <c r="W70" i="4"/>
  <c r="AE70" i="4"/>
  <c r="AZ70" i="4"/>
  <c r="CN70" i="4"/>
  <c r="CS70" i="4" s="1"/>
  <c r="CP70" i="4"/>
  <c r="CQ70" i="4"/>
  <c r="CR70" i="4"/>
  <c r="DN70" i="4"/>
  <c r="CT70" i="4" l="1"/>
  <c r="CV70" i="4" s="1"/>
  <c r="E67" i="4"/>
  <c r="I67" i="4"/>
  <c r="J67" i="4"/>
  <c r="W67" i="4"/>
  <c r="AE67" i="4"/>
  <c r="AZ67" i="4"/>
  <c r="CN67" i="4"/>
  <c r="CS67" i="4" s="1"/>
  <c r="CP67" i="4"/>
  <c r="CQ67" i="4"/>
  <c r="CR67" i="4"/>
  <c r="DN67" i="4"/>
  <c r="E68" i="4"/>
  <c r="I68" i="4"/>
  <c r="J68" i="4"/>
  <c r="W68" i="4"/>
  <c r="AE68" i="4"/>
  <c r="AZ68" i="4"/>
  <c r="CN68" i="4"/>
  <c r="CS68" i="4" s="1"/>
  <c r="CP68" i="4"/>
  <c r="CQ68" i="4"/>
  <c r="CR68" i="4"/>
  <c r="DN68" i="4"/>
  <c r="E69" i="4"/>
  <c r="I69" i="4"/>
  <c r="J69" i="4"/>
  <c r="W69" i="4"/>
  <c r="AE69" i="4"/>
  <c r="AZ69" i="4"/>
  <c r="CN69" i="4"/>
  <c r="CS69" i="4" s="1"/>
  <c r="CP69" i="4"/>
  <c r="CQ69" i="4"/>
  <c r="CR69" i="4"/>
  <c r="DN69" i="4"/>
  <c r="CT67" i="4" l="1"/>
  <c r="CV67" i="4" s="1"/>
  <c r="CT69" i="4"/>
  <c r="CV69" i="4" s="1"/>
  <c r="CT68" i="4"/>
  <c r="CV68" i="4" s="1"/>
  <c r="E66" i="4"/>
  <c r="I66" i="4"/>
  <c r="J66" i="4"/>
  <c r="W66" i="4"/>
  <c r="AE66" i="4"/>
  <c r="AZ66" i="4"/>
  <c r="CN66" i="4"/>
  <c r="CS66" i="4" s="1"/>
  <c r="CP66" i="4"/>
  <c r="CQ66" i="4"/>
  <c r="CR66" i="4"/>
  <c r="DN66" i="4"/>
  <c r="CT66" i="4" l="1"/>
  <c r="CV66" i="4" s="1"/>
  <c r="E65" i="4"/>
  <c r="I65" i="4"/>
  <c r="J65" i="4"/>
  <c r="W65" i="4"/>
  <c r="AE65" i="4"/>
  <c r="AZ65" i="4"/>
  <c r="CN65" i="4"/>
  <c r="CS65" i="4" s="1"/>
  <c r="CP65" i="4"/>
  <c r="CQ65" i="4"/>
  <c r="CR65" i="4"/>
  <c r="DN65" i="4"/>
  <c r="CN63" i="4"/>
  <c r="CT65" i="4" l="1"/>
  <c r="CV65" i="4" s="1"/>
  <c r="E63" i="4"/>
  <c r="I63" i="4"/>
  <c r="J63" i="4"/>
  <c r="W63" i="4"/>
  <c r="AE63" i="4"/>
  <c r="AZ63" i="4"/>
  <c r="CS63" i="4"/>
  <c r="CP63" i="4"/>
  <c r="CQ63" i="4"/>
  <c r="CR63" i="4"/>
  <c r="DN63" i="4"/>
  <c r="E64" i="4"/>
  <c r="I64" i="4"/>
  <c r="J64" i="4"/>
  <c r="W64" i="4"/>
  <c r="AE64" i="4"/>
  <c r="AZ64" i="4"/>
  <c r="CN64" i="4"/>
  <c r="CS64" i="4" s="1"/>
  <c r="CP64" i="4"/>
  <c r="CQ64" i="4"/>
  <c r="CR64" i="4"/>
  <c r="DN64" i="4"/>
  <c r="CT64" i="4" l="1"/>
  <c r="CV64" i="4" s="1"/>
  <c r="CT63" i="4"/>
  <c r="CV63" i="4" s="1"/>
  <c r="W62" i="4"/>
  <c r="H60" i="4" l="1"/>
  <c r="E60" i="4"/>
  <c r="I60" i="4"/>
  <c r="J60" i="4"/>
  <c r="W60" i="4"/>
  <c r="AE60" i="4"/>
  <c r="AZ60" i="4"/>
  <c r="CN60" i="4"/>
  <c r="CS60" i="4" s="1"/>
  <c r="CP60" i="4"/>
  <c r="CQ60" i="4"/>
  <c r="CR60" i="4"/>
  <c r="DN60" i="4"/>
  <c r="E61" i="4"/>
  <c r="I61" i="4"/>
  <c r="J61" i="4"/>
  <c r="W61" i="4"/>
  <c r="AE61" i="4"/>
  <c r="AZ61" i="4"/>
  <c r="CN61" i="4"/>
  <c r="CS61" i="4" s="1"/>
  <c r="CP61" i="4"/>
  <c r="CQ61" i="4"/>
  <c r="CR61" i="4"/>
  <c r="DN61" i="4"/>
  <c r="E62" i="4"/>
  <c r="I62" i="4"/>
  <c r="J62" i="4"/>
  <c r="AE62" i="4"/>
  <c r="AZ62" i="4"/>
  <c r="CN62" i="4"/>
  <c r="CS62" i="4" s="1"/>
  <c r="CP62" i="4"/>
  <c r="CQ62" i="4"/>
  <c r="CR62" i="4"/>
  <c r="DN62" i="4"/>
  <c r="CT60" i="4" l="1"/>
  <c r="CV60" i="4" s="1"/>
  <c r="CT62" i="4"/>
  <c r="CV62" i="4" s="1"/>
  <c r="CT61" i="4"/>
  <c r="CV61" i="4" s="1"/>
  <c r="H58" i="4"/>
  <c r="H59" i="4"/>
  <c r="E58" i="4"/>
  <c r="I58" i="4"/>
  <c r="J58" i="4"/>
  <c r="W58" i="4"/>
  <c r="AE58" i="4"/>
  <c r="AZ58" i="4"/>
  <c r="CN58" i="4"/>
  <c r="CS58" i="4" s="1"/>
  <c r="CP58" i="4"/>
  <c r="CQ58" i="4"/>
  <c r="CR58" i="4"/>
  <c r="DN58" i="4"/>
  <c r="E59" i="4"/>
  <c r="I59" i="4"/>
  <c r="J59" i="4"/>
  <c r="W59" i="4"/>
  <c r="AE59" i="4"/>
  <c r="AZ59" i="4"/>
  <c r="CN59" i="4"/>
  <c r="CS59" i="4" s="1"/>
  <c r="CP59" i="4"/>
  <c r="CQ59" i="4"/>
  <c r="CR59" i="4"/>
  <c r="DN59" i="4"/>
  <c r="CT58" i="4" l="1"/>
  <c r="CV58" i="4" s="1"/>
  <c r="CT59" i="4"/>
  <c r="CV59" i="4" s="1"/>
  <c r="H56" i="4"/>
  <c r="H57" i="4"/>
  <c r="H50" i="4"/>
  <c r="H51" i="4"/>
  <c r="H52" i="4"/>
  <c r="H53" i="4"/>
  <c r="H54" i="4"/>
  <c r="H55" i="4"/>
  <c r="E56" i="4"/>
  <c r="I56" i="4"/>
  <c r="J56" i="4"/>
  <c r="W56" i="4"/>
  <c r="AE56" i="4"/>
  <c r="AZ56" i="4"/>
  <c r="CN56" i="4"/>
  <c r="CS56" i="4" s="1"/>
  <c r="CP56" i="4"/>
  <c r="CQ56" i="4"/>
  <c r="CR56" i="4"/>
  <c r="DN56" i="4"/>
  <c r="E57" i="4"/>
  <c r="I57" i="4"/>
  <c r="J57" i="4"/>
  <c r="W57" i="4"/>
  <c r="AE57" i="4"/>
  <c r="AZ57" i="4"/>
  <c r="CN57" i="4"/>
  <c r="CS57" i="4" s="1"/>
  <c r="CP57" i="4"/>
  <c r="CQ57" i="4"/>
  <c r="CR57" i="4"/>
  <c r="DN57" i="4"/>
  <c r="CT56" i="4" l="1"/>
  <c r="CV56" i="4" s="1"/>
  <c r="CT57" i="4"/>
  <c r="CV57" i="4" s="1"/>
  <c r="E55" i="4"/>
  <c r="I55" i="4"/>
  <c r="J55" i="4"/>
  <c r="W55" i="4"/>
  <c r="AE55" i="4"/>
  <c r="AZ55" i="4"/>
  <c r="CN55" i="4"/>
  <c r="CS55" i="4" s="1"/>
  <c r="CP55" i="4"/>
  <c r="CQ55" i="4"/>
  <c r="CR55" i="4"/>
  <c r="DN55" i="4"/>
  <c r="CT55" i="4" l="1"/>
  <c r="CV55" i="4" s="1"/>
  <c r="E54" i="4"/>
  <c r="I54" i="4"/>
  <c r="J54" i="4"/>
  <c r="W54" i="4"/>
  <c r="AE54" i="4"/>
  <c r="AZ54" i="4"/>
  <c r="CN54" i="4"/>
  <c r="CS54" i="4" s="1"/>
  <c r="CP54" i="4"/>
  <c r="CQ54" i="4"/>
  <c r="CR54" i="4"/>
  <c r="DN54" i="4"/>
  <c r="CT54" i="4" l="1"/>
  <c r="CV54" i="4" s="1"/>
  <c r="E53" i="4"/>
  <c r="I53" i="4"/>
  <c r="J53" i="4"/>
  <c r="W53" i="4"/>
  <c r="AE53" i="4"/>
  <c r="AZ53" i="4"/>
  <c r="CN53" i="4"/>
  <c r="CS53" i="4" s="1"/>
  <c r="CP53" i="4"/>
  <c r="CQ53" i="4"/>
  <c r="CR53" i="4"/>
  <c r="DN53" i="4"/>
  <c r="CT53" i="4" l="1"/>
  <c r="CV53" i="4" s="1"/>
  <c r="CN51" i="4"/>
  <c r="CS51" i="4" s="1"/>
  <c r="E51" i="4"/>
  <c r="I51" i="4"/>
  <c r="J51" i="4"/>
  <c r="W51" i="4"/>
  <c r="AE51" i="4"/>
  <c r="AZ51" i="4"/>
  <c r="CP51" i="4"/>
  <c r="CQ51" i="4"/>
  <c r="CR51" i="4"/>
  <c r="DN51" i="4"/>
  <c r="CT51" i="4" l="1"/>
  <c r="CV51" i="4" s="1"/>
  <c r="E50" i="4"/>
  <c r="I50" i="4"/>
  <c r="J50" i="4"/>
  <c r="W50" i="4"/>
  <c r="AE50" i="4"/>
  <c r="AZ50" i="4"/>
  <c r="CN50" i="4"/>
  <c r="CS50" i="4" s="1"/>
  <c r="CP50" i="4"/>
  <c r="CQ50" i="4"/>
  <c r="CR50" i="4"/>
  <c r="DN50" i="4"/>
  <c r="CT50" i="4" l="1"/>
  <c r="CV50" i="4" s="1"/>
  <c r="E52" i="4"/>
  <c r="I52" i="4"/>
  <c r="J52" i="4"/>
  <c r="W52" i="4"/>
  <c r="AE52" i="4"/>
  <c r="AZ52" i="4"/>
  <c r="CN52" i="4"/>
  <c r="CS52" i="4" s="1"/>
  <c r="CP52" i="4"/>
  <c r="CQ52" i="4"/>
  <c r="CR52" i="4"/>
  <c r="DN52" i="4"/>
  <c r="CT52" i="4" l="1"/>
  <c r="CV52" i="4" s="1"/>
  <c r="H46" i="4"/>
  <c r="H47" i="4"/>
  <c r="H48" i="4"/>
  <c r="H49" i="4"/>
  <c r="E46" i="4"/>
  <c r="I46" i="4"/>
  <c r="J46" i="4"/>
  <c r="W46" i="4"/>
  <c r="AE46" i="4"/>
  <c r="AZ46" i="4"/>
  <c r="CN46" i="4"/>
  <c r="CS46" i="4" s="1"/>
  <c r="CP46" i="4"/>
  <c r="CQ46" i="4"/>
  <c r="CR46" i="4"/>
  <c r="DN46" i="4"/>
  <c r="E47" i="4"/>
  <c r="I47" i="4"/>
  <c r="J47" i="4"/>
  <c r="W47" i="4"/>
  <c r="AE47" i="4"/>
  <c r="AZ47" i="4"/>
  <c r="CN47" i="4"/>
  <c r="CS47" i="4" s="1"/>
  <c r="CP47" i="4"/>
  <c r="CQ47" i="4"/>
  <c r="CR47" i="4"/>
  <c r="DN47" i="4"/>
  <c r="E48" i="4"/>
  <c r="I48" i="4"/>
  <c r="J48" i="4"/>
  <c r="W48" i="4"/>
  <c r="AE48" i="4"/>
  <c r="AZ48" i="4"/>
  <c r="CN48" i="4"/>
  <c r="CS48" i="4" s="1"/>
  <c r="CP48" i="4"/>
  <c r="CQ48" i="4"/>
  <c r="CR48" i="4"/>
  <c r="DN48" i="4"/>
  <c r="E49" i="4"/>
  <c r="I49" i="4"/>
  <c r="J49" i="4"/>
  <c r="W49" i="4"/>
  <c r="AE49" i="4"/>
  <c r="AZ49" i="4"/>
  <c r="CN49" i="4"/>
  <c r="CS49" i="4" s="1"/>
  <c r="CP49" i="4"/>
  <c r="CQ49" i="4"/>
  <c r="CR49" i="4"/>
  <c r="DN49" i="4"/>
  <c r="CT46" i="4" l="1"/>
  <c r="CV46" i="4" s="1"/>
  <c r="CT47" i="4"/>
  <c r="CV47" i="4" s="1"/>
  <c r="CT48" i="4"/>
  <c r="CV48" i="4" s="1"/>
  <c r="CT49" i="4"/>
  <c r="CV49" i="4" s="1"/>
  <c r="H43" i="4"/>
  <c r="H44" i="4"/>
  <c r="H45" i="4"/>
  <c r="E43" i="4"/>
  <c r="I43" i="4"/>
  <c r="J43" i="4"/>
  <c r="W43" i="4"/>
  <c r="AE43" i="4"/>
  <c r="AZ43" i="4"/>
  <c r="CN43" i="4"/>
  <c r="CS43" i="4" s="1"/>
  <c r="CP43" i="4"/>
  <c r="CQ43" i="4"/>
  <c r="CR43" i="4"/>
  <c r="DN43" i="4"/>
  <c r="E44" i="4"/>
  <c r="I44" i="4"/>
  <c r="J44" i="4"/>
  <c r="W44" i="4"/>
  <c r="AE44" i="4"/>
  <c r="AZ44" i="4"/>
  <c r="CN44" i="4"/>
  <c r="CP44" i="4"/>
  <c r="CQ44" i="4"/>
  <c r="CR44" i="4"/>
  <c r="CS44" i="4"/>
  <c r="DN44" i="4"/>
  <c r="E45" i="4"/>
  <c r="I45" i="4"/>
  <c r="J45" i="4"/>
  <c r="W45" i="4"/>
  <c r="AE45" i="4"/>
  <c r="AZ45" i="4"/>
  <c r="CN45" i="4"/>
  <c r="CP45" i="4"/>
  <c r="CQ45" i="4"/>
  <c r="CR45" i="4"/>
  <c r="CS45" i="4"/>
  <c r="DN45" i="4"/>
  <c r="CT43" i="4" l="1"/>
  <c r="CV43" i="4" s="1"/>
  <c r="CT45" i="4"/>
  <c r="CV45" i="4" s="1"/>
  <c r="CT44" i="4"/>
  <c r="CV44" i="4" s="1"/>
  <c r="L164" i="4"/>
  <c r="X164" i="4"/>
  <c r="V164" i="4"/>
  <c r="U164" i="4"/>
  <c r="T164" i="4"/>
  <c r="S164" i="4"/>
  <c r="R164" i="4"/>
  <c r="Q164" i="4"/>
  <c r="H30" i="4" l="1"/>
  <c r="H31" i="4"/>
  <c r="H32" i="4"/>
  <c r="H33" i="4"/>
  <c r="H34" i="4"/>
  <c r="H35" i="4"/>
  <c r="H36" i="4"/>
  <c r="H37" i="4"/>
  <c r="H38" i="4"/>
  <c r="H39" i="4"/>
  <c r="H40" i="4"/>
  <c r="H41" i="4"/>
  <c r="H42" i="4"/>
  <c r="E42" i="4" l="1"/>
  <c r="I42" i="4"/>
  <c r="J42" i="4"/>
  <c r="W42" i="4"/>
  <c r="AE42" i="4"/>
  <c r="AZ42" i="4"/>
  <c r="CN42" i="4"/>
  <c r="CS42" i="4" s="1"/>
  <c r="CP42" i="4"/>
  <c r="CQ42" i="4"/>
  <c r="CR42" i="4"/>
  <c r="DN42" i="4"/>
  <c r="E41" i="4"/>
  <c r="I41" i="4"/>
  <c r="J41" i="4"/>
  <c r="W41" i="4"/>
  <c r="AE41" i="4"/>
  <c r="AZ41" i="4"/>
  <c r="CN41" i="4"/>
  <c r="CS41" i="4" s="1"/>
  <c r="CP41" i="4"/>
  <c r="CQ41" i="4"/>
  <c r="CR41" i="4"/>
  <c r="DN41" i="4"/>
  <c r="E40" i="4"/>
  <c r="I40" i="4"/>
  <c r="J40" i="4"/>
  <c r="W40" i="4"/>
  <c r="AE40" i="4"/>
  <c r="AZ40" i="4"/>
  <c r="CN40" i="4"/>
  <c r="CS40" i="4" s="1"/>
  <c r="CP40" i="4"/>
  <c r="CQ40" i="4"/>
  <c r="CR40" i="4"/>
  <c r="DN40" i="4"/>
  <c r="CT42" i="4" l="1"/>
  <c r="CV42" i="4" s="1"/>
  <c r="CT41" i="4"/>
  <c r="CV41" i="4" s="1"/>
  <c r="CT40" i="4"/>
  <c r="CV40" i="4" s="1"/>
  <c r="E39" i="4"/>
  <c r="I39" i="4"/>
  <c r="J39" i="4"/>
  <c r="W39" i="4"/>
  <c r="AE39" i="4"/>
  <c r="AZ39" i="4"/>
  <c r="CN39" i="4"/>
  <c r="CS39" i="4" s="1"/>
  <c r="CP39" i="4"/>
  <c r="CQ39" i="4"/>
  <c r="CR39" i="4"/>
  <c r="DN39" i="4"/>
  <c r="CT39" i="4" l="1"/>
  <c r="CV39" i="4" s="1"/>
  <c r="E38" i="4"/>
  <c r="I38" i="4"/>
  <c r="J38" i="4"/>
  <c r="W38" i="4"/>
  <c r="AE38" i="4"/>
  <c r="AZ38" i="4"/>
  <c r="CN38" i="4"/>
  <c r="CS38" i="4" s="1"/>
  <c r="CP38" i="4"/>
  <c r="CQ38" i="4"/>
  <c r="CR38" i="4"/>
  <c r="DN38" i="4"/>
  <c r="E37" i="4"/>
  <c r="I37" i="4"/>
  <c r="J37" i="4"/>
  <c r="W37" i="4"/>
  <c r="AE37" i="4"/>
  <c r="AZ37" i="4"/>
  <c r="CN37" i="4"/>
  <c r="CS37" i="4" s="1"/>
  <c r="CP37" i="4"/>
  <c r="CQ37" i="4"/>
  <c r="CR37" i="4"/>
  <c r="DN37" i="4"/>
  <c r="E36" i="4"/>
  <c r="I36" i="4"/>
  <c r="J36" i="4"/>
  <c r="W36" i="4"/>
  <c r="AE36" i="4"/>
  <c r="AZ36" i="4"/>
  <c r="CN36" i="4"/>
  <c r="CS36" i="4" s="1"/>
  <c r="CP36" i="4"/>
  <c r="CQ36" i="4"/>
  <c r="CR36" i="4"/>
  <c r="DN36" i="4"/>
  <c r="CT38" i="4" l="1"/>
  <c r="CV38" i="4" s="1"/>
  <c r="CT37" i="4"/>
  <c r="CV37" i="4" s="1"/>
  <c r="CT36" i="4"/>
  <c r="CV36" i="4" s="1"/>
  <c r="CR34" i="4"/>
  <c r="CR35" i="4"/>
  <c r="CN33" i="4"/>
  <c r="E33" i="4"/>
  <c r="E34" i="4"/>
  <c r="I34" i="4"/>
  <c r="J34" i="4"/>
  <c r="W34" i="4"/>
  <c r="AE34" i="4"/>
  <c r="AZ34" i="4"/>
  <c r="CN34" i="4"/>
  <c r="CS34" i="4" s="1"/>
  <c r="CP34" i="4"/>
  <c r="CQ34" i="4"/>
  <c r="DN34" i="4"/>
  <c r="CT34" i="4" l="1"/>
  <c r="CV34" i="4" s="1"/>
  <c r="DN33" i="4"/>
  <c r="CR33" i="4"/>
  <c r="CQ33" i="4"/>
  <c r="CP33" i="4"/>
  <c r="CS33" i="4"/>
  <c r="AZ33" i="4"/>
  <c r="AE33" i="4"/>
  <c r="W33" i="4"/>
  <c r="J33" i="4"/>
  <c r="I33" i="4"/>
  <c r="CT33" i="4" l="1"/>
  <c r="CV33" i="4" s="1"/>
  <c r="E35" i="4"/>
  <c r="I35" i="4"/>
  <c r="J35" i="4"/>
  <c r="W35" i="4"/>
  <c r="AE35" i="4"/>
  <c r="AZ35" i="4"/>
  <c r="CN35" i="4"/>
  <c r="CS35" i="4" s="1"/>
  <c r="CP35" i="4"/>
  <c r="CQ35" i="4"/>
  <c r="DN35" i="4"/>
  <c r="CT35" i="4" l="1"/>
  <c r="CV35" i="4" s="1"/>
  <c r="E32" i="4" l="1"/>
  <c r="I32" i="4"/>
  <c r="J32" i="4"/>
  <c r="W32" i="4"/>
  <c r="AE32" i="4"/>
  <c r="AZ32" i="4"/>
  <c r="CN32" i="4"/>
  <c r="CS32" i="4" s="1"/>
  <c r="CP32" i="4"/>
  <c r="CQ32" i="4"/>
  <c r="CR32" i="4"/>
  <c r="DN32" i="4"/>
  <c r="E31" i="4"/>
  <c r="I31" i="4"/>
  <c r="J31" i="4"/>
  <c r="W31" i="4"/>
  <c r="AE31" i="4"/>
  <c r="AZ31" i="4"/>
  <c r="CN31" i="4"/>
  <c r="CS31" i="4" s="1"/>
  <c r="CP31" i="4"/>
  <c r="CQ31" i="4"/>
  <c r="CR31" i="4"/>
  <c r="DN31" i="4"/>
  <c r="CT32" i="4" l="1"/>
  <c r="CV32" i="4" s="1"/>
  <c r="CT31" i="4"/>
  <c r="CV31" i="4" s="1"/>
  <c r="AD164" i="4"/>
  <c r="H29" i="4"/>
  <c r="E29" i="4"/>
  <c r="I29" i="4"/>
  <c r="J29" i="4"/>
  <c r="W29" i="4"/>
  <c r="AE29" i="4"/>
  <c r="AZ29" i="4"/>
  <c r="CN29" i="4"/>
  <c r="CS29" i="4" s="1"/>
  <c r="CP29" i="4"/>
  <c r="CQ29" i="4"/>
  <c r="CR29" i="4"/>
  <c r="DN29" i="4"/>
  <c r="E30" i="4"/>
  <c r="I30" i="4"/>
  <c r="J30" i="4"/>
  <c r="W30" i="4"/>
  <c r="AE30" i="4"/>
  <c r="AZ30" i="4"/>
  <c r="CN30" i="4"/>
  <c r="CS30" i="4" s="1"/>
  <c r="CP30" i="4"/>
  <c r="CQ30" i="4"/>
  <c r="CR30" i="4"/>
  <c r="DN30" i="4"/>
  <c r="CT30" i="4" l="1"/>
  <c r="CV30" i="4" s="1"/>
  <c r="CT29" i="4"/>
  <c r="CV29" i="4" s="1"/>
  <c r="DN28" i="4"/>
  <c r="H28" i="4"/>
  <c r="H25" i="4"/>
  <c r="H26" i="4"/>
  <c r="H27" i="4"/>
  <c r="E28" i="4"/>
  <c r="I28" i="4"/>
  <c r="J28" i="4"/>
  <c r="W28" i="4"/>
  <c r="AE28" i="4"/>
  <c r="AZ28" i="4"/>
  <c r="CN28" i="4"/>
  <c r="CS28" i="4" s="1"/>
  <c r="CP28" i="4"/>
  <c r="CQ28" i="4"/>
  <c r="CR28" i="4"/>
  <c r="CT28" i="4" l="1"/>
  <c r="CV28" i="4" s="1"/>
  <c r="E26" i="4"/>
  <c r="I26" i="4"/>
  <c r="J26" i="4"/>
  <c r="W26" i="4"/>
  <c r="AE26" i="4"/>
  <c r="AZ26" i="4"/>
  <c r="CN26" i="4"/>
  <c r="CS26" i="4" s="1"/>
  <c r="CP26" i="4"/>
  <c r="CQ26" i="4"/>
  <c r="CR26" i="4"/>
  <c r="DN26" i="4"/>
  <c r="E27" i="4"/>
  <c r="I27" i="4"/>
  <c r="J27" i="4"/>
  <c r="W27" i="4"/>
  <c r="AE27" i="4"/>
  <c r="AZ27" i="4"/>
  <c r="CN27" i="4"/>
  <c r="CS27" i="4" s="1"/>
  <c r="CP27" i="4"/>
  <c r="CQ27" i="4"/>
  <c r="CR27" i="4"/>
  <c r="DN27" i="4"/>
  <c r="CT26" i="4" l="1"/>
  <c r="CV26" i="4" s="1"/>
  <c r="CT27" i="4"/>
  <c r="CV27" i="4" s="1"/>
  <c r="CN25" i="4"/>
  <c r="E25" i="4" l="1"/>
  <c r="I25" i="4"/>
  <c r="J25" i="4"/>
  <c r="W25" i="4"/>
  <c r="AE25" i="4"/>
  <c r="AZ25" i="4"/>
  <c r="CP25" i="4"/>
  <c r="CQ25" i="4"/>
  <c r="CR25" i="4"/>
  <c r="CS25" i="4"/>
  <c r="DN25" i="4"/>
  <c r="CT25" i="4" l="1"/>
  <c r="CV25" i="4" s="1"/>
  <c r="H24" i="4"/>
  <c r="E24" i="4"/>
  <c r="I24" i="4"/>
  <c r="J24" i="4"/>
  <c r="W24" i="4"/>
  <c r="AE24" i="4"/>
  <c r="AZ24" i="4"/>
  <c r="CN24" i="4"/>
  <c r="CP24" i="4"/>
  <c r="CQ24" i="4"/>
  <c r="CR24" i="4"/>
  <c r="CS24" i="4"/>
  <c r="DN24" i="4"/>
  <c r="CT24" i="4" l="1"/>
  <c r="CV24" i="4" s="1"/>
  <c r="H23" i="4"/>
  <c r="E23" i="4"/>
  <c r="I23" i="4"/>
  <c r="J23" i="4"/>
  <c r="W23" i="4"/>
  <c r="AE23" i="4"/>
  <c r="AZ23" i="4"/>
  <c r="CN23" i="4"/>
  <c r="CS23" i="4" s="1"/>
  <c r="CP23" i="4"/>
  <c r="CQ23" i="4"/>
  <c r="CR23" i="4"/>
  <c r="DN23" i="4"/>
  <c r="CT23" i="4" l="1"/>
  <c r="CV23" i="4" s="1"/>
  <c r="H18" i="4"/>
  <c r="H19" i="4"/>
  <c r="H20" i="4"/>
  <c r="H21" i="4"/>
  <c r="H22" i="4"/>
  <c r="E22" i="4" l="1"/>
  <c r="I22" i="4"/>
  <c r="J22" i="4"/>
  <c r="W22" i="4"/>
  <c r="AE22" i="4"/>
  <c r="AZ22" i="4"/>
  <c r="CN22" i="4"/>
  <c r="CS22" i="4" s="1"/>
  <c r="CP22" i="4"/>
  <c r="CQ22" i="4"/>
  <c r="CR22" i="4"/>
  <c r="DN22" i="4"/>
  <c r="E20" i="4"/>
  <c r="E21" i="4"/>
  <c r="I21" i="4"/>
  <c r="J21" i="4"/>
  <c r="W21" i="4"/>
  <c r="AE21" i="4"/>
  <c r="AZ21" i="4"/>
  <c r="CN21" i="4"/>
  <c r="CS21" i="4" s="1"/>
  <c r="CP21" i="4"/>
  <c r="CQ21" i="4"/>
  <c r="CR21" i="4"/>
  <c r="DN21" i="4"/>
  <c r="CT22" i="4" l="1"/>
  <c r="CV22" i="4" s="1"/>
  <c r="CT21" i="4"/>
  <c r="CV21" i="4" s="1"/>
  <c r="I20" i="4"/>
  <c r="J20" i="4"/>
  <c r="W20" i="4"/>
  <c r="AE20" i="4"/>
  <c r="AZ20" i="4"/>
  <c r="CN20" i="4"/>
  <c r="CS20" i="4" s="1"/>
  <c r="CP20" i="4"/>
  <c r="CQ20" i="4"/>
  <c r="CR20" i="4"/>
  <c r="DN20" i="4"/>
  <c r="CT20" i="4" l="1"/>
  <c r="CV20" i="4" s="1"/>
  <c r="DN19" i="4"/>
  <c r="CR19" i="4"/>
  <c r="CQ19" i="4"/>
  <c r="CP19" i="4"/>
  <c r="CN19" i="4"/>
  <c r="CS19" i="4" s="1"/>
  <c r="AZ19" i="4"/>
  <c r="AE19" i="4"/>
  <c r="W19" i="4"/>
  <c r="J19" i="4"/>
  <c r="I19" i="4"/>
  <c r="E19" i="4"/>
  <c r="E18" i="4"/>
  <c r="I18" i="4"/>
  <c r="J18" i="4"/>
  <c r="W18" i="4"/>
  <c r="AE18" i="4"/>
  <c r="AZ18" i="4"/>
  <c r="CN18" i="4"/>
  <c r="CS18" i="4" s="1"/>
  <c r="CP18" i="4"/>
  <c r="CQ18" i="4"/>
  <c r="CR18" i="4"/>
  <c r="DN18" i="4"/>
  <c r="CT19" i="4" l="1"/>
  <c r="CV19" i="4" s="1"/>
  <c r="CT18" i="4"/>
  <c r="CV18" i="4" s="1"/>
  <c r="CN13" i="4"/>
  <c r="H13" i="4"/>
  <c r="H14" i="4"/>
  <c r="H15" i="4"/>
  <c r="H16" i="4"/>
  <c r="H17" i="4"/>
  <c r="H6" i="4"/>
  <c r="H7" i="4"/>
  <c r="H8" i="4"/>
  <c r="H9" i="4"/>
  <c r="H10" i="4"/>
  <c r="H11" i="4"/>
  <c r="H12" i="4"/>
  <c r="H5" i="4"/>
  <c r="E13" i="4" l="1"/>
  <c r="I13" i="4"/>
  <c r="J13" i="4"/>
  <c r="W13" i="4"/>
  <c r="AE13" i="4"/>
  <c r="AZ13" i="4"/>
  <c r="CS13" i="4"/>
  <c r="CP13" i="4"/>
  <c r="CQ13" i="4"/>
  <c r="CR13" i="4"/>
  <c r="DN13" i="4"/>
  <c r="E14" i="4"/>
  <c r="I14" i="4"/>
  <c r="J14" i="4"/>
  <c r="W14" i="4"/>
  <c r="AE14" i="4"/>
  <c r="AZ14" i="4"/>
  <c r="CN14" i="4"/>
  <c r="CP14" i="4"/>
  <c r="CQ14" i="4"/>
  <c r="CR14" i="4"/>
  <c r="CS14" i="4"/>
  <c r="DN14" i="4"/>
  <c r="E15" i="4"/>
  <c r="I15" i="4"/>
  <c r="J15" i="4"/>
  <c r="W15" i="4"/>
  <c r="AE15" i="4"/>
  <c r="AZ15" i="4"/>
  <c r="CN15" i="4"/>
  <c r="CP15" i="4"/>
  <c r="CQ15" i="4"/>
  <c r="CR15" i="4"/>
  <c r="CS15" i="4"/>
  <c r="DN15" i="4"/>
  <c r="E16" i="4"/>
  <c r="I16" i="4"/>
  <c r="J16" i="4"/>
  <c r="W16" i="4"/>
  <c r="AE16" i="4"/>
  <c r="AZ16" i="4"/>
  <c r="CN16" i="4"/>
  <c r="CS16" i="4" s="1"/>
  <c r="CP16" i="4"/>
  <c r="CQ16" i="4"/>
  <c r="CR16" i="4"/>
  <c r="DN16" i="4"/>
  <c r="E17" i="4"/>
  <c r="I17" i="4"/>
  <c r="J17" i="4"/>
  <c r="W17" i="4"/>
  <c r="AE17" i="4"/>
  <c r="AZ17" i="4"/>
  <c r="CN17" i="4"/>
  <c r="CS17" i="4" s="1"/>
  <c r="CP17" i="4"/>
  <c r="CQ17" i="4"/>
  <c r="CR17" i="4"/>
  <c r="DN17" i="4"/>
  <c r="CT17" i="4" l="1"/>
  <c r="CV17" i="4" s="1"/>
  <c r="CT16" i="4"/>
  <c r="CV16" i="4" s="1"/>
  <c r="CT15" i="4"/>
  <c r="CV15" i="4" s="1"/>
  <c r="CT14" i="4"/>
  <c r="CV14" i="4" s="1"/>
  <c r="CT13" i="4"/>
  <c r="CV13" i="4" s="1"/>
  <c r="E11" i="4"/>
  <c r="I11" i="4"/>
  <c r="J11" i="4"/>
  <c r="W11" i="4"/>
  <c r="AE11" i="4"/>
  <c r="AZ11" i="4"/>
  <c r="CN11" i="4"/>
  <c r="CP11" i="4"/>
  <c r="CQ11" i="4"/>
  <c r="CR11" i="4"/>
  <c r="DN11" i="4"/>
  <c r="E12" i="4"/>
  <c r="I12" i="4"/>
  <c r="J12" i="4"/>
  <c r="W12" i="4"/>
  <c r="AE12" i="4"/>
  <c r="AZ12" i="4"/>
  <c r="CN12" i="4"/>
  <c r="CS12" i="4" s="1"/>
  <c r="CP12" i="4"/>
  <c r="CQ12" i="4"/>
  <c r="CR12" i="4"/>
  <c r="DN12" i="4"/>
  <c r="CS11" i="4" l="1"/>
  <c r="CT11" i="4" s="1"/>
  <c r="CV11" i="4" s="1"/>
  <c r="CT12" i="4"/>
  <c r="CV12" i="4" s="1"/>
  <c r="E10" i="4"/>
  <c r="I10" i="4"/>
  <c r="J10" i="4"/>
  <c r="W10" i="4"/>
  <c r="AE10" i="4"/>
  <c r="AZ10" i="4"/>
  <c r="CN10" i="4"/>
  <c r="CS10" i="4" s="1"/>
  <c r="CP10" i="4"/>
  <c r="CQ10" i="4"/>
  <c r="CR10" i="4"/>
  <c r="DN10" i="4"/>
  <c r="CT10" i="4" l="1"/>
  <c r="CV10" i="4" s="1"/>
  <c r="E9" i="4"/>
  <c r="I9" i="4"/>
  <c r="J9" i="4"/>
  <c r="W9" i="4"/>
  <c r="AE9" i="4"/>
  <c r="AZ9" i="4"/>
  <c r="CN9" i="4"/>
  <c r="CS9" i="4" s="1"/>
  <c r="CP9" i="4"/>
  <c r="CQ9" i="4"/>
  <c r="CR9" i="4"/>
  <c r="DN9" i="4"/>
  <c r="CT9" i="4" l="1"/>
  <c r="CV9" i="4" s="1"/>
  <c r="AZ8" i="4"/>
  <c r="DN8" i="4" l="1"/>
  <c r="CQ8" i="4" l="1"/>
  <c r="CR8" i="4"/>
  <c r="CP8" i="4"/>
  <c r="CN8" i="4"/>
  <c r="CS8" i="4" s="1"/>
  <c r="AE8" i="4"/>
  <c r="W8" i="4"/>
  <c r="J8" i="4"/>
  <c r="I8" i="4"/>
  <c r="E8" i="4"/>
  <c r="CT8" i="4" l="1"/>
  <c r="CV8" i="4" s="1"/>
  <c r="E7" i="4"/>
  <c r="I7" i="4"/>
  <c r="J7" i="4"/>
  <c r="W7" i="4"/>
  <c r="AE7" i="4"/>
  <c r="AZ7" i="4"/>
  <c r="CN7" i="4"/>
  <c r="CS7" i="4" s="1"/>
  <c r="CP7" i="4"/>
  <c r="CQ7" i="4"/>
  <c r="CR7" i="4"/>
  <c r="DN7" i="4"/>
  <c r="CT7" i="4" l="1"/>
  <c r="CV7" i="4" s="1"/>
  <c r="AZ6" i="4"/>
  <c r="E5" i="4" l="1"/>
  <c r="I5" i="4"/>
  <c r="J5" i="4"/>
  <c r="W5" i="4"/>
  <c r="AE5" i="4"/>
  <c r="AF5" i="4" s="1"/>
  <c r="AZ5" i="4"/>
  <c r="CN5" i="4"/>
  <c r="CO5" i="4" s="1"/>
  <c r="CP5" i="4"/>
  <c r="CQ5" i="4"/>
  <c r="CR5" i="4"/>
  <c r="DN5" i="4"/>
  <c r="E6" i="4"/>
  <c r="I6" i="4"/>
  <c r="J6" i="4"/>
  <c r="W6" i="4"/>
  <c r="AE6" i="4"/>
  <c r="CN6" i="4"/>
  <c r="CS6" i="4" s="1"/>
  <c r="CP6" i="4"/>
  <c r="CQ6" i="4"/>
  <c r="CR6" i="4"/>
  <c r="DN6" i="4"/>
  <c r="CO6" i="4" l="1"/>
  <c r="CO7" i="4" s="1"/>
  <c r="CO8" i="4" s="1"/>
  <c r="CO9" i="4" s="1"/>
  <c r="CO10" i="4" s="1"/>
  <c r="CO11" i="4" s="1"/>
  <c r="CO12" i="4" s="1"/>
  <c r="CO13" i="4" s="1"/>
  <c r="CO14" i="4" s="1"/>
  <c r="CO15" i="4" s="1"/>
  <c r="CO16" i="4" s="1"/>
  <c r="CO17" i="4" s="1"/>
  <c r="CO18" i="4" s="1"/>
  <c r="CO19" i="4" s="1"/>
  <c r="CO20" i="4" s="1"/>
  <c r="CO21" i="4" s="1"/>
  <c r="CO22" i="4" s="1"/>
  <c r="CO23" i="4" s="1"/>
  <c r="CO24" i="4" s="1"/>
  <c r="CO25" i="4" s="1"/>
  <c r="CO26" i="4" s="1"/>
  <c r="CO27" i="4" s="1"/>
  <c r="CS5" i="4"/>
  <c r="CT5" i="4" s="1"/>
  <c r="CV5" i="4" s="1"/>
  <c r="AF6" i="4"/>
  <c r="AG5" i="4"/>
  <c r="CT6" i="4"/>
  <c r="CV6" i="4" s="1"/>
  <c r="CO28" i="4" l="1"/>
  <c r="CO29" i="4" s="1"/>
  <c r="CO30" i="4" s="1"/>
  <c r="CO31" i="4" s="1"/>
  <c r="CO32" i="4" s="1"/>
  <c r="AF7" i="4"/>
  <c r="AG6" i="4"/>
  <c r="CT164" i="4"/>
  <c r="CT3" i="4" s="1"/>
  <c r="AW164" i="4"/>
  <c r="CO33" i="4" l="1"/>
  <c r="CO34" i="4" s="1"/>
  <c r="CO35" i="4" s="1"/>
  <c r="CO36" i="4" s="1"/>
  <c r="CO37" i="4" s="1"/>
  <c r="CO38" i="4" s="1"/>
  <c r="CO39" i="4" s="1"/>
  <c r="CO40" i="4" s="1"/>
  <c r="CO41" i="4" s="1"/>
  <c r="CO42" i="4" s="1"/>
  <c r="CO43" i="4" s="1"/>
  <c r="CO44" i="4" s="1"/>
  <c r="CO45" i="4" s="1"/>
  <c r="CO46" i="4" s="1"/>
  <c r="CO47" i="4" s="1"/>
  <c r="CO48" i="4" s="1"/>
  <c r="CO49" i="4" s="1"/>
  <c r="CO50" i="4" s="1"/>
  <c r="CO51" i="4" s="1"/>
  <c r="CO52" i="4" s="1"/>
  <c r="CO53" i="4" s="1"/>
  <c r="CO54" i="4" s="1"/>
  <c r="CO55" i="4" s="1"/>
  <c r="CO56" i="4" s="1"/>
  <c r="CO57" i="4" s="1"/>
  <c r="CO58" i="4" s="1"/>
  <c r="CO59" i="4" s="1"/>
  <c r="CO60" i="4" s="1"/>
  <c r="CO61" i="4" s="1"/>
  <c r="CO62" i="4" s="1"/>
  <c r="CO63" i="4" s="1"/>
  <c r="CO64" i="4" s="1"/>
  <c r="CO65" i="4" s="1"/>
  <c r="CO66" i="4" s="1"/>
  <c r="CO67" i="4" s="1"/>
  <c r="CO68" i="4" s="1"/>
  <c r="CO69" i="4" s="1"/>
  <c r="CO70" i="4" s="1"/>
  <c r="CO71" i="4" s="1"/>
  <c r="CO72" i="4" s="1"/>
  <c r="CO73" i="4" s="1"/>
  <c r="CO74" i="4" s="1"/>
  <c r="CO75" i="4" s="1"/>
  <c r="CO76" i="4" s="1"/>
  <c r="CO77" i="4" s="1"/>
  <c r="CO78" i="4" s="1"/>
  <c r="CO79" i="4" s="1"/>
  <c r="CO80" i="4" s="1"/>
  <c r="CO81" i="4" s="1"/>
  <c r="CO82" i="4" s="1"/>
  <c r="CO83" i="4" s="1"/>
  <c r="CO84" i="4" s="1"/>
  <c r="CO85" i="4" s="1"/>
  <c r="CO86" i="4" s="1"/>
  <c r="CO87" i="4" s="1"/>
  <c r="CO88" i="4" s="1"/>
  <c r="CO89" i="4" s="1"/>
  <c r="CO90" i="4" s="1"/>
  <c r="CO91" i="4" s="1"/>
  <c r="CO92" i="4" s="1"/>
  <c r="CO93" i="4" s="1"/>
  <c r="CO94" i="4" s="1"/>
  <c r="CO95" i="4" s="1"/>
  <c r="CO96" i="4" s="1"/>
  <c r="CO97" i="4" s="1"/>
  <c r="CO98" i="4" s="1"/>
  <c r="CO99" i="4" s="1"/>
  <c r="CO100" i="4" s="1"/>
  <c r="CO101" i="4" s="1"/>
  <c r="CO102" i="4" s="1"/>
  <c r="CO103" i="4" s="1"/>
  <c r="CO104" i="4" s="1"/>
  <c r="CO105" i="4" s="1"/>
  <c r="CO106" i="4" s="1"/>
  <c r="CO107" i="4" s="1"/>
  <c r="CO108" i="4" s="1"/>
  <c r="CO109" i="4" s="1"/>
  <c r="CO110" i="4" s="1"/>
  <c r="CO111" i="4" s="1"/>
  <c r="CO112" i="4" s="1"/>
  <c r="CO113" i="4" s="1"/>
  <c r="CO114" i="4" s="1"/>
  <c r="CO115" i="4" s="1"/>
  <c r="CO116" i="4" s="1"/>
  <c r="CO117" i="4" s="1"/>
  <c r="CO118" i="4" s="1"/>
  <c r="CO119" i="4" s="1"/>
  <c r="CO120" i="4" s="1"/>
  <c r="CO121" i="4" s="1"/>
  <c r="CO122" i="4" s="1"/>
  <c r="CO123" i="4" s="1"/>
  <c r="CO124" i="4" s="1"/>
  <c r="CO125" i="4" s="1"/>
  <c r="CO126" i="4" s="1"/>
  <c r="CO127" i="4" s="1"/>
  <c r="CO128" i="4" s="1"/>
  <c r="CO129" i="4" s="1"/>
  <c r="CO130" i="4" s="1"/>
  <c r="CO131" i="4" s="1"/>
  <c r="CO132" i="4" s="1"/>
  <c r="CO133" i="4" s="1"/>
  <c r="CO134" i="4" s="1"/>
  <c r="CO135" i="4" s="1"/>
  <c r="CO136" i="4" s="1"/>
  <c r="CO137" i="4" s="1"/>
  <c r="CO138" i="4" s="1"/>
  <c r="CO139" i="4" s="1"/>
  <c r="CO140" i="4" s="1"/>
  <c r="CO141" i="4" s="1"/>
  <c r="CO142" i="4" s="1"/>
  <c r="CO143" i="4" s="1"/>
  <c r="CO144" i="4" s="1"/>
  <c r="CO145" i="4" s="1"/>
  <c r="CO146" i="4" s="1"/>
  <c r="CO147" i="4" s="1"/>
  <c r="CO148" i="4" s="1"/>
  <c r="CO149" i="4" s="1"/>
  <c r="CO150" i="4" s="1"/>
  <c r="CO151" i="4" s="1"/>
  <c r="CO152" i="4" s="1"/>
  <c r="CO153" i="4" s="1"/>
  <c r="CO154" i="4" s="1"/>
  <c r="CO155" i="4" s="1"/>
  <c r="CO156" i="4" s="1"/>
  <c r="CO157" i="4" s="1"/>
  <c r="CO158" i="4" s="1"/>
  <c r="CO159" i="4" s="1"/>
  <c r="CO160" i="4" s="1"/>
  <c r="CO161" i="4" s="1"/>
  <c r="CO162" i="4" s="1"/>
  <c r="CO163" i="4" s="1"/>
  <c r="AG7" i="4"/>
  <c r="AF8" i="4"/>
  <c r="BD164" i="4"/>
  <c r="BD3" i="4" s="1"/>
  <c r="BC164" i="4"/>
  <c r="BC3" i="4" s="1"/>
  <c r="A164" i="4"/>
  <c r="A3" i="4" s="1"/>
  <c r="C164" i="4"/>
  <c r="C3" i="4" s="1"/>
  <c r="D3" i="4"/>
  <c r="Y164" i="4"/>
  <c r="Y3" i="4" s="1"/>
  <c r="Z164" i="4"/>
  <c r="Z3" i="4" s="1"/>
  <c r="AA164" i="4"/>
  <c r="AA3" i="4" s="1"/>
  <c r="AB164" i="4"/>
  <c r="AB3" i="4" s="1"/>
  <c r="AC164" i="4"/>
  <c r="AC3" i="4" s="1"/>
  <c r="AD3" i="4"/>
  <c r="AX164" i="4"/>
  <c r="AX3" i="4" s="1"/>
  <c r="AY164" i="4"/>
  <c r="AY3" i="4" s="1"/>
  <c r="BA164" i="4"/>
  <c r="BA3" i="4" s="1"/>
  <c r="BB164" i="4"/>
  <c r="BB3" i="4" s="1"/>
  <c r="BE164" i="4"/>
  <c r="BE3" i="4" s="1"/>
  <c r="BF164" i="4"/>
  <c r="BF3" i="4" s="1"/>
  <c r="BG164" i="4"/>
  <c r="BG3" i="4" s="1"/>
  <c r="BH164" i="4"/>
  <c r="BH3" i="4" s="1"/>
  <c r="BI164" i="4"/>
  <c r="BI3" i="4" s="1"/>
  <c r="BT164" i="4"/>
  <c r="BT3" i="4" s="1"/>
  <c r="BU164" i="4"/>
  <c r="BU3" i="4" s="1"/>
  <c r="BV164" i="4"/>
  <c r="BV3" i="4" s="1"/>
  <c r="BW164" i="4"/>
  <c r="BW3" i="4" s="1"/>
  <c r="BX164" i="4"/>
  <c r="BX3" i="4" s="1"/>
  <c r="BY164" i="4"/>
  <c r="BY3" i="4" s="1"/>
  <c r="BZ164" i="4"/>
  <c r="BZ3" i="4" s="1"/>
  <c r="CA164" i="4"/>
  <c r="CA3" i="4" s="1"/>
  <c r="CB164" i="4"/>
  <c r="CB3" i="4" s="1"/>
  <c r="CC164" i="4"/>
  <c r="CC3" i="4" s="1"/>
  <c r="CD164" i="4"/>
  <c r="CD3" i="4" s="1"/>
  <c r="CE164" i="4"/>
  <c r="CE3" i="4" s="1"/>
  <c r="CF164" i="4"/>
  <c r="CF3" i="4" s="1"/>
  <c r="CG164" i="4"/>
  <c r="CG3" i="4" s="1"/>
  <c r="CH164" i="4"/>
  <c r="CH3" i="4" s="1"/>
  <c r="CI164" i="4"/>
  <c r="CI3" i="4" s="1"/>
  <c r="CJ164" i="4"/>
  <c r="CJ3" i="4" s="1"/>
  <c r="CK164" i="4"/>
  <c r="CK3" i="4" s="1"/>
  <c r="CL164" i="4"/>
  <c r="CL3" i="4" s="1"/>
  <c r="CM164" i="4"/>
  <c r="CM3" i="4" s="1"/>
  <c r="CU164" i="4"/>
  <c r="CU3" i="4" s="1"/>
  <c r="DH164" i="4"/>
  <c r="DH3" i="4" s="1"/>
  <c r="DI164" i="4"/>
  <c r="DI3" i="4" s="1"/>
  <c r="DJ164" i="4"/>
  <c r="DJ3" i="4" s="1"/>
  <c r="DK164" i="4"/>
  <c r="DK3" i="4" s="1"/>
  <c r="DL164" i="4"/>
  <c r="DL3" i="4" s="1"/>
  <c r="DM164" i="4"/>
  <c r="DM3" i="4" s="1"/>
  <c r="AG8" i="4" l="1"/>
  <c r="AF9" i="4"/>
  <c r="CN164" i="4"/>
  <c r="CN3" i="4" s="1"/>
  <c r="AG9" i="4" l="1"/>
  <c r="AF10" i="4"/>
  <c r="DN164" i="4"/>
  <c r="DN3" i="4" s="1"/>
  <c r="AF11" i="4" l="1"/>
  <c r="AF12" i="4" s="1"/>
  <c r="AF13" i="4" s="1"/>
  <c r="AF14" i="4" s="1"/>
  <c r="AF15" i="4" s="1"/>
  <c r="AF16" i="4" s="1"/>
  <c r="AF17" i="4" s="1"/>
  <c r="AF18" i="4" s="1"/>
  <c r="AF19" i="4" s="1"/>
  <c r="AG10" i="4"/>
  <c r="CP164" i="4"/>
  <c r="AG19" i="4" l="1"/>
  <c r="AF20" i="4"/>
  <c r="AG18" i="4"/>
  <c r="AG11" i="4"/>
  <c r="AG12" i="4"/>
  <c r="AG13" i="4"/>
  <c r="AG14" i="4"/>
  <c r="AG15" i="4"/>
  <c r="AG16" i="4"/>
  <c r="AG17" i="4"/>
  <c r="CQ164" i="4"/>
  <c r="CP3" i="4" s="1"/>
  <c r="AG20" i="4" l="1"/>
  <c r="AF21" i="4"/>
  <c r="AZ164" i="4"/>
  <c r="AZ3" i="4" s="1"/>
  <c r="AG21" i="4" l="1"/>
  <c r="AF22" i="4"/>
  <c r="CR164" i="4"/>
  <c r="CR3" i="4" s="1"/>
  <c r="AG22" i="4" l="1"/>
  <c r="AF23" i="4"/>
  <c r="CS164" i="4"/>
  <c r="CS3" i="4" s="1"/>
  <c r="AG23" i="4" l="1"/>
  <c r="AF24" i="4"/>
  <c r="AE164" i="4"/>
  <c r="AE3" i="4" s="1"/>
  <c r="AG24" i="4" l="1"/>
  <c r="AF25" i="4"/>
  <c r="AF26" i="4" s="1"/>
  <c r="AG26" i="4" l="1"/>
  <c r="AF27" i="4"/>
  <c r="AF28" i="4" s="1"/>
  <c r="AG25" i="4"/>
  <c r="AG28" i="4" l="1"/>
  <c r="AF29" i="4"/>
  <c r="AG27" i="4"/>
  <c r="AG29" i="4" l="1"/>
  <c r="AF30" i="4"/>
  <c r="AG30" i="4" l="1"/>
  <c r="AF31" i="4"/>
  <c r="AG31" i="4" l="1"/>
  <c r="AF32" i="4"/>
  <c r="AF33" i="4" s="1"/>
  <c r="AG32" i="4" l="1"/>
  <c r="AF34" i="4"/>
  <c r="AG34" i="4" l="1"/>
  <c r="AF35" i="4"/>
  <c r="AF36" i="4" s="1"/>
  <c r="AG33" i="4"/>
  <c r="AG36" i="4" l="1"/>
  <c r="AF37" i="4"/>
  <c r="AG35" i="4"/>
  <c r="AG37" i="4" l="1"/>
  <c r="AF38" i="4"/>
  <c r="AG38" i="4" l="1"/>
  <c r="AF39" i="4"/>
  <c r="AG39" i="4" l="1"/>
  <c r="AF40" i="4"/>
  <c r="AG40" i="4" l="1"/>
  <c r="AF41" i="4"/>
  <c r="AG41" i="4" l="1"/>
  <c r="AF42" i="4"/>
  <c r="AF43" i="4" s="1"/>
  <c r="AG43" i="4" l="1"/>
  <c r="AF44" i="4"/>
  <c r="AF45" i="4" s="1"/>
  <c r="AG42" i="4"/>
  <c r="AF46" i="4" l="1"/>
  <c r="AF47" i="4" s="1"/>
  <c r="AF48" i="4" s="1"/>
  <c r="AF49" i="4" s="1"/>
  <c r="AG45" i="4"/>
  <c r="AG44" i="4"/>
  <c r="AF50" i="4" l="1"/>
  <c r="AG49" i="4"/>
  <c r="AG47" i="4"/>
  <c r="AG48" i="4"/>
  <c r="AG46" i="4"/>
  <c r="AG50" i="4" l="1"/>
  <c r="AF51" i="4"/>
  <c r="AG51" i="4" l="1"/>
  <c r="AF52" i="4"/>
  <c r="AG52" i="4" l="1"/>
  <c r="AF53" i="4"/>
  <c r="AG53" i="4" l="1"/>
  <c r="AF54" i="4"/>
  <c r="AG54" i="4" l="1"/>
  <c r="AF55" i="4"/>
  <c r="AF56" i="4" s="1"/>
  <c r="AG56" i="4" l="1"/>
  <c r="AF57" i="4"/>
  <c r="AF58" i="4" s="1"/>
  <c r="AG55" i="4"/>
  <c r="AG58" i="4" l="1"/>
  <c r="AF59" i="4"/>
  <c r="AF60" i="4" s="1"/>
  <c r="AG57" i="4"/>
  <c r="AG60" i="4" l="1"/>
  <c r="AF61" i="4"/>
  <c r="AF62" i="4" s="1"/>
  <c r="AG59" i="4"/>
  <c r="AG61" i="4" l="1"/>
  <c r="AG62" i="4"/>
  <c r="AF63" i="4"/>
  <c r="AG63" i="4" l="1"/>
  <c r="AF64" i="4"/>
  <c r="AF65" i="4" l="1"/>
  <c r="AF66" i="4" s="1"/>
  <c r="AF67" i="4" s="1"/>
  <c r="AF68" i="4" s="1"/>
  <c r="AF69" i="4" s="1"/>
  <c r="AF70" i="4" s="1"/>
  <c r="AG64" i="4"/>
  <c r="AG70" i="4" l="1"/>
  <c r="AF71" i="4"/>
  <c r="AG65" i="4"/>
  <c r="AG67" i="4"/>
  <c r="AG71" i="4" l="1"/>
  <c r="AF72" i="4"/>
  <c r="AG66" i="4"/>
  <c r="AG69" i="4"/>
  <c r="AG68" i="4"/>
  <c r="AF73" i="4" l="1"/>
  <c r="AG72" i="4"/>
  <c r="AG73" i="4" l="1"/>
  <c r="AF74" i="4"/>
  <c r="AG74" i="4" l="1"/>
  <c r="AF75" i="4"/>
  <c r="AG75" i="4" l="1"/>
  <c r="AF76" i="4"/>
  <c r="AG76" i="4" l="1"/>
  <c r="AF77" i="4"/>
  <c r="AG77" i="4" l="1"/>
  <c r="AF78" i="4"/>
  <c r="AG78" i="4" l="1"/>
  <c r="AF79" i="4"/>
  <c r="AG79" i="4" l="1"/>
  <c r="AF80" i="4"/>
  <c r="AF81" i="4" s="1"/>
  <c r="AF82" i="4" s="1"/>
  <c r="AG82" i="4" l="1"/>
  <c r="AF83" i="4"/>
  <c r="AF84" i="4" s="1"/>
  <c r="AG80" i="4"/>
  <c r="AG81" i="4"/>
  <c r="AG84" i="4" l="1"/>
  <c r="AF85" i="4"/>
  <c r="AG83" i="4"/>
  <c r="AG85" i="4" l="1"/>
  <c r="AF86" i="4"/>
  <c r="AG86" i="4" l="1"/>
  <c r="AF87" i="4"/>
  <c r="AG87" i="4" l="1"/>
  <c r="AF88" i="4"/>
  <c r="AG88" i="4" l="1"/>
  <c r="AF89" i="4"/>
  <c r="AF90" i="4" l="1"/>
  <c r="AG89" i="4"/>
  <c r="AG90" i="4" l="1"/>
  <c r="AF91" i="4"/>
  <c r="AF92" i="4" l="1"/>
  <c r="AG91" i="4"/>
  <c r="AF93" i="4" l="1"/>
  <c r="AG92" i="4"/>
  <c r="AF94" i="4" l="1"/>
  <c r="AG93" i="4"/>
  <c r="AG94" i="4" l="1"/>
  <c r="AF95" i="4"/>
  <c r="AG95" i="4" l="1"/>
  <c r="AF96" i="4"/>
  <c r="AG96" i="4" l="1"/>
  <c r="AF97" i="4"/>
  <c r="AG97" i="4" l="1"/>
  <c r="AF98" i="4"/>
  <c r="AG98" i="4" l="1"/>
  <c r="AF99" i="4"/>
  <c r="AG99" i="4" l="1"/>
  <c r="AF100" i="4"/>
  <c r="AG100" i="4" l="1"/>
  <c r="AF101" i="4"/>
  <c r="AG101" i="4" l="1"/>
  <c r="AF102" i="4"/>
  <c r="AF103" i="4" s="1"/>
  <c r="AG103" i="4" l="1"/>
  <c r="AF104" i="4"/>
  <c r="AG102" i="4"/>
  <c r="AG104" i="4" l="1"/>
  <c r="AF105" i="4"/>
  <c r="AF106" i="4" s="1"/>
  <c r="AG106" i="4" l="1"/>
  <c r="AF107" i="4"/>
  <c r="AF108" i="4" s="1"/>
  <c r="AF109" i="4" s="1"/>
  <c r="AF110" i="4" s="1"/>
  <c r="AF111" i="4" s="1"/>
  <c r="AF112" i="4" s="1"/>
  <c r="AF113" i="4" s="1"/>
  <c r="AF114" i="4" s="1"/>
  <c r="AF115" i="4" s="1"/>
  <c r="AF116" i="4" s="1"/>
  <c r="AF117" i="4" s="1"/>
  <c r="AF118" i="4" s="1"/>
  <c r="AF119" i="4" s="1"/>
  <c r="AF120" i="4" s="1"/>
  <c r="AG105" i="4"/>
  <c r="AG120" i="4" l="1"/>
  <c r="AF121" i="4"/>
  <c r="AG107" i="4"/>
  <c r="AG121" i="4" l="1"/>
  <c r="AF122" i="4"/>
  <c r="AG108" i="4"/>
  <c r="AG110" i="4"/>
  <c r="AG111" i="4"/>
  <c r="AG112" i="4"/>
  <c r="AG113" i="4"/>
  <c r="AG114" i="4"/>
  <c r="AG115" i="4"/>
  <c r="AG116" i="4"/>
  <c r="AG117" i="4"/>
  <c r="AG118" i="4"/>
  <c r="AG119" i="4"/>
  <c r="AG109" i="4"/>
  <c r="CV164" i="4"/>
  <c r="CV3" i="4" s="1"/>
  <c r="AG122" i="4" l="1"/>
  <c r="AF123" i="4"/>
  <c r="AG123" i="4" l="1"/>
  <c r="AF124" i="4"/>
  <c r="AG124" i="4" l="1"/>
  <c r="AF125" i="4"/>
  <c r="AG125" i="4" l="1"/>
  <c r="AF126" i="4"/>
  <c r="AG126" i="4" l="1"/>
  <c r="AF127" i="4"/>
  <c r="AG127" i="4" l="1"/>
  <c r="AF128" i="4"/>
  <c r="AG128" i="4" l="1"/>
  <c r="AF129" i="4"/>
  <c r="AG129" i="4" l="1"/>
  <c r="AF130" i="4"/>
  <c r="AF131" i="4" l="1"/>
  <c r="AG130" i="4"/>
  <c r="AG131" i="4" l="1"/>
  <c r="AF132" i="4"/>
  <c r="AF133" i="4" l="1"/>
  <c r="AF134" i="4" s="1"/>
  <c r="AG132" i="4"/>
  <c r="AG134" i="4" l="1"/>
  <c r="AF135" i="4"/>
  <c r="AF136" i="4" s="1"/>
  <c r="AG133" i="4"/>
  <c r="AG136" i="4" l="1"/>
  <c r="AF137" i="4"/>
  <c r="AG135" i="4"/>
  <c r="AG137" i="4" l="1"/>
  <c r="AF138" i="4"/>
  <c r="AG138" i="4" l="1"/>
  <c r="AF139" i="4"/>
  <c r="AF140" i="4" l="1"/>
  <c r="AG139" i="4"/>
  <c r="AG140" i="4" l="1"/>
  <c r="AF141" i="4"/>
  <c r="AF142" i="4" l="1"/>
  <c r="AG141" i="4"/>
  <c r="AG142" i="4" l="1"/>
  <c r="AF143" i="4"/>
  <c r="AG143" i="4" l="1"/>
  <c r="AF144" i="4"/>
  <c r="AF145" i="4" s="1"/>
  <c r="AG145" i="4" l="1"/>
  <c r="AF146" i="4"/>
  <c r="AF147" i="4" s="1"/>
  <c r="AG144" i="4"/>
  <c r="AG147" i="4" l="1"/>
  <c r="AF148" i="4"/>
  <c r="AG146" i="4"/>
  <c r="AF149" i="4" l="1"/>
  <c r="AG148" i="4"/>
  <c r="AF150" i="4" l="1"/>
  <c r="AG149" i="4"/>
  <c r="AF151" i="4" l="1"/>
  <c r="AG150" i="4"/>
  <c r="AG151" i="4" l="1"/>
  <c r="AF152" i="4"/>
  <c r="AG152" i="4" l="1"/>
  <c r="AF153" i="4"/>
  <c r="AF154" i="4" s="1"/>
  <c r="AG154" i="4" l="1"/>
  <c r="AF155" i="4"/>
  <c r="AG153" i="4"/>
  <c r="AG155" i="4" l="1"/>
  <c r="AF156" i="4"/>
  <c r="AF157" i="4" s="1"/>
  <c r="AG157" i="4" l="1"/>
  <c r="AF158" i="4"/>
  <c r="AG156" i="4"/>
  <c r="AG158" i="4" l="1"/>
  <c r="AF159" i="4"/>
  <c r="AG159" i="4" l="1"/>
  <c r="AF160" i="4"/>
  <c r="AG160" i="4" l="1"/>
  <c r="AF161" i="4"/>
  <c r="AG161" i="4" l="1"/>
  <c r="AF162" i="4"/>
  <c r="AG162" i="4" l="1"/>
  <c r="AF163" i="4"/>
  <c r="AG163" i="4" s="1"/>
</calcChain>
</file>

<file path=xl/sharedStrings.xml><?xml version="1.0" encoding="utf-8"?>
<sst xmlns="http://schemas.openxmlformats.org/spreadsheetml/2006/main" count="4224" uniqueCount="760">
  <si>
    <t>Ocurrencia del Incendio</t>
  </si>
  <si>
    <t>Ubicación</t>
  </si>
  <si>
    <t>Causa</t>
  </si>
  <si>
    <t>Horarios de Atención</t>
  </si>
  <si>
    <t>Indicadores de Eficiencia (Horas)</t>
  </si>
  <si>
    <t>Total de Brigadistas que asisten al incendio</t>
  </si>
  <si>
    <t>Costo Estimado del Incendio ($)</t>
  </si>
  <si>
    <t>Tiempo Atmosférico</t>
  </si>
  <si>
    <t>Arbolada</t>
  </si>
  <si>
    <t>No Arbolada</t>
  </si>
  <si>
    <t>Latitud Norte (N)</t>
  </si>
  <si>
    <t>Longitud Oeste (W)</t>
  </si>
  <si>
    <t>Clave del Incendio</t>
  </si>
  <si>
    <t>Mes</t>
  </si>
  <si>
    <t>Semana del Año</t>
  </si>
  <si>
    <t>Fecha de Inicio</t>
  </si>
  <si>
    <t>Día de la Semana</t>
  </si>
  <si>
    <t>Fecha de Término</t>
  </si>
  <si>
    <t>Categoría del Incendio por Duración (días)</t>
  </si>
  <si>
    <t>Entidad Federativa</t>
  </si>
  <si>
    <t>Orientación Geográfica</t>
  </si>
  <si>
    <t>Coordenadas Geográficas</t>
  </si>
  <si>
    <t>Lat
 ( ° )</t>
  </si>
  <si>
    <t>Lat
 ( ' )</t>
  </si>
  <si>
    <t>Lat
 ( " )</t>
  </si>
  <si>
    <t>Long
 ( ° )</t>
  </si>
  <si>
    <t>Long
 ( ' )</t>
  </si>
  <si>
    <t>Long
 ( " )</t>
  </si>
  <si>
    <t>a.s.n.m.</t>
  </si>
  <si>
    <t>Medio de Detección</t>
  </si>
  <si>
    <t>Nombre Medio de Detección</t>
  </si>
  <si>
    <t>Causa Específica</t>
  </si>
  <si>
    <t>Tipo  de Propiedad</t>
  </si>
  <si>
    <t>Inicio de Incendio</t>
  </si>
  <si>
    <t>Detección</t>
  </si>
  <si>
    <t>Llegada</t>
  </si>
  <si>
    <t>Ataque Inicial</t>
  </si>
  <si>
    <t>Inicio de Ataque Ampliado</t>
  </si>
  <si>
    <t>Control</t>
  </si>
  <si>
    <t>Liquidación</t>
  </si>
  <si>
    <t>Duración</t>
  </si>
  <si>
    <t xml:space="preserve">I. Detección </t>
  </si>
  <si>
    <t xml:space="preserve">I. Llegada </t>
  </si>
  <si>
    <t>I. Duración</t>
  </si>
  <si>
    <t>Otros Recursos</t>
  </si>
  <si>
    <t>SEDENA</t>
  </si>
  <si>
    <t>Voluntarios</t>
  </si>
  <si>
    <t>Total (Oficiales)</t>
  </si>
  <si>
    <t>Acumulado</t>
  </si>
  <si>
    <t>Costo CONAFOR</t>
  </si>
  <si>
    <t>Costo Otros</t>
  </si>
  <si>
    <t>Temperatura (°C)</t>
  </si>
  <si>
    <t>Velocidad del Viento (Km/h)</t>
  </si>
  <si>
    <t>Humedad Relativa    (%)</t>
  </si>
  <si>
    <t>Dirección del viento</t>
  </si>
  <si>
    <t>Tipo de Incendio</t>
  </si>
  <si>
    <t>Arbolado Adulto (HA)</t>
  </si>
  <si>
    <t>Renuevo (HA)</t>
  </si>
  <si>
    <t>Arbustivo (HA)</t>
  </si>
  <si>
    <t>Herbáceo (HA)</t>
  </si>
  <si>
    <t>Hojarasca (HA)</t>
  </si>
  <si>
    <t>Suelo Orgánico (HA)</t>
  </si>
  <si>
    <t>Superficie Afectada (HA)</t>
  </si>
  <si>
    <t>Acumulado (HA)</t>
  </si>
  <si>
    <t>Superficie Promedio por Incendio (HA)</t>
  </si>
  <si>
    <t xml:space="preserve">Afectación en Arbolado Adulto       </t>
  </si>
  <si>
    <t>Tipo de Vegetación</t>
  </si>
  <si>
    <t>Nomenclatura T. Veg.</t>
  </si>
  <si>
    <t>ANP</t>
  </si>
  <si>
    <t>jueves</t>
  </si>
  <si>
    <t>viernes</t>
  </si>
  <si>
    <t>miércoles</t>
  </si>
  <si>
    <t>Total Incendios</t>
  </si>
  <si>
    <t># Incendio en el Mes</t>
  </si>
  <si>
    <t># Incendio en el Dia</t>
  </si>
  <si>
    <t>↓</t>
  </si>
  <si>
    <t>Total general</t>
  </si>
  <si>
    <t>Día de la semana</t>
  </si>
  <si>
    <t>#Incendios</t>
  </si>
  <si>
    <t>Superficie Afectada (HA).</t>
  </si>
  <si>
    <t>enero</t>
  </si>
  <si>
    <t>Semana del año</t>
  </si>
  <si>
    <t>Causas</t>
  </si>
  <si>
    <t>°</t>
  </si>
  <si>
    <t>Incendio en el AÑO</t>
  </si>
  <si>
    <t xml:space="preserve">Voluntarios </t>
  </si>
  <si>
    <t xml:space="preserve">Oficiales </t>
  </si>
  <si>
    <t>Jefe de Incidente</t>
  </si>
  <si>
    <t xml:space="preserve">Área Natural Protegida </t>
  </si>
  <si>
    <t>CONAFOR (Oficiales)</t>
  </si>
  <si>
    <t>CONAFOR (Brigada Rurales Estatales)</t>
  </si>
  <si>
    <t>CONAFOR (Brigadas Rurales Municipales)</t>
  </si>
  <si>
    <t>CONAFOR (Servicios Ambientales)</t>
  </si>
  <si>
    <t>CONANP (Oficiales)</t>
  </si>
  <si>
    <t>CONANP (Servicios Externos)</t>
  </si>
  <si>
    <t>SEMAR</t>
  </si>
  <si>
    <t>Otras Dependencias Federales</t>
  </si>
  <si>
    <t>Estatal (Protección Civil)</t>
  </si>
  <si>
    <t>Propietarios y Poseedores de Terrenos Forestales</t>
  </si>
  <si>
    <t>ONG´s</t>
  </si>
  <si>
    <t>Asociación de Silvicultores</t>
  </si>
  <si>
    <t>Líneas Negras (KM)</t>
  </si>
  <si>
    <t>Liquidación (KM)</t>
  </si>
  <si>
    <t>Sofocación (KM)</t>
  </si>
  <si>
    <t>Tendido de Manguera (KM)</t>
  </si>
  <si>
    <t>Rehabilitación de Brecha Cortafuego (KM)</t>
  </si>
  <si>
    <t>Apertura de Brecha Cortafuego (KM)</t>
  </si>
  <si>
    <t>Ataque Directo (KM)</t>
  </si>
  <si>
    <t>Salida Base</t>
  </si>
  <si>
    <t xml:space="preserve">Llegada a base </t>
  </si>
  <si>
    <t>Municipio (s)</t>
  </si>
  <si>
    <t>Predio (s)</t>
  </si>
  <si>
    <t>Costo Total del Personal</t>
  </si>
  <si>
    <t>Costo Total de Supresión del Incendio</t>
  </si>
  <si>
    <t>Paraje (s)</t>
  </si>
  <si>
    <t>Costo de operación aplicado al incendio</t>
  </si>
  <si>
    <t>Arbolado Adulto (HA)2</t>
  </si>
  <si>
    <t>Renuevo (HA)3</t>
  </si>
  <si>
    <t>Arbustivo (HA)4</t>
  </si>
  <si>
    <t>Herbáceo (HA)5</t>
  </si>
  <si>
    <t>Hojarasca (HA)6</t>
  </si>
  <si>
    <t>Suelo Orgánico (HA)7</t>
  </si>
  <si>
    <t>Total Superficie Afectada ANP  (AH)</t>
  </si>
  <si>
    <t>Tlalnepantla</t>
  </si>
  <si>
    <t>Actividad Forestal Principal del Predio</t>
  </si>
  <si>
    <t>Quema de Ensenche (KM)</t>
  </si>
  <si>
    <t>Contrafuegos                      (KM)</t>
  </si>
  <si>
    <t>CONAFOR (Subcontratados)</t>
  </si>
  <si>
    <t>Estatal (Gobierno del Estado)</t>
  </si>
  <si>
    <t>Municipales (Gobierno del Municipio)</t>
  </si>
  <si>
    <t>Municipales (Protección Civil)</t>
  </si>
  <si>
    <t>Sector Privado</t>
  </si>
  <si>
    <t>Autirización de Aprovechamiento Forestal</t>
  </si>
  <si>
    <t xml:space="preserve">Actividades Pecuarias </t>
  </si>
  <si>
    <t>Actividades Agricolas</t>
  </si>
  <si>
    <t>Intencional</t>
  </si>
  <si>
    <t>febrero</t>
  </si>
  <si>
    <t>Clave de Municipio</t>
  </si>
  <si>
    <t>Municipio</t>
  </si>
  <si>
    <t xml:space="preserve">Desconocidas </t>
  </si>
  <si>
    <t>Suma de # Incendio en el Dia</t>
  </si>
  <si>
    <t xml:space="preserve">Otra ANP Afectada </t>
  </si>
  <si>
    <t>19-17-0001</t>
  </si>
  <si>
    <t xml:space="preserve">Morelos </t>
  </si>
  <si>
    <t xml:space="preserve">Huitzilac </t>
  </si>
  <si>
    <t xml:space="preserve">Los Ocotes </t>
  </si>
  <si>
    <t xml:space="preserve">Oriente </t>
  </si>
  <si>
    <t>Fijo</t>
  </si>
  <si>
    <t>Protección Civil Municipal</t>
  </si>
  <si>
    <t xml:space="preserve">Quema para Pastoreo </t>
  </si>
  <si>
    <t>Comunal</t>
  </si>
  <si>
    <t xml:space="preserve">Conservación </t>
  </si>
  <si>
    <t xml:space="preserve">Juan Felipe Ramirez Torres </t>
  </si>
  <si>
    <t xml:space="preserve">PC Huitzilac </t>
  </si>
  <si>
    <t>Sin dato</t>
  </si>
  <si>
    <t>Minimo</t>
  </si>
  <si>
    <t xml:space="preserve">Bosque de Pino - Encino </t>
  </si>
  <si>
    <t>BPQ</t>
  </si>
  <si>
    <t xml:space="preserve">Corredor Biológico Chichinautzin </t>
  </si>
  <si>
    <t xml:space="preserve">No aplica </t>
  </si>
  <si>
    <t>CBC</t>
  </si>
  <si>
    <t>19-17-0002</t>
  </si>
  <si>
    <t xml:space="preserve">Tepoztlán </t>
  </si>
  <si>
    <t xml:space="preserve">Santa Catarina </t>
  </si>
  <si>
    <t>El Guayabo</t>
  </si>
  <si>
    <t>CONAFOR</t>
  </si>
  <si>
    <t xml:space="preserve">No Aplica </t>
  </si>
  <si>
    <t xml:space="preserve">Florencio Pacheco Vargas </t>
  </si>
  <si>
    <t xml:space="preserve">Selva Baja Caducifolia </t>
  </si>
  <si>
    <t>SBC</t>
  </si>
  <si>
    <t xml:space="preserve">Parque Nacional El Tepozteco </t>
  </si>
  <si>
    <t>PNTP</t>
  </si>
  <si>
    <t xml:space="preserve">Superficial </t>
  </si>
  <si>
    <t>19-17-0003</t>
  </si>
  <si>
    <t>Sur</t>
  </si>
  <si>
    <t>Cambio de uso de suelo</t>
  </si>
  <si>
    <t>Rogelio Galeana Martinez</t>
  </si>
  <si>
    <t>19-17-0004</t>
  </si>
  <si>
    <t>La Tranca</t>
  </si>
  <si>
    <t>Teodoro Rea Martinez</t>
  </si>
  <si>
    <t>19-17-0005</t>
  </si>
  <si>
    <t>Federico Galeana Simeon</t>
  </si>
  <si>
    <t>Poniente</t>
  </si>
  <si>
    <t>Quema Para Desmontar</t>
  </si>
  <si>
    <t>19-17-0006</t>
  </si>
  <si>
    <t>Teteconzin</t>
  </si>
  <si>
    <t>CEMF</t>
  </si>
  <si>
    <t>31</t>
  </si>
  <si>
    <t>32</t>
  </si>
  <si>
    <t>33</t>
  </si>
  <si>
    <t>34</t>
  </si>
  <si>
    <t>9</t>
  </si>
  <si>
    <t>Recursos CONAFOR (Sierras)</t>
  </si>
  <si>
    <t>El km 8</t>
  </si>
  <si>
    <t xml:space="preserve">km 55 de la Autopista </t>
  </si>
  <si>
    <t>19-17-0007</t>
  </si>
  <si>
    <t>19-17-0008</t>
  </si>
  <si>
    <t xml:space="preserve">Zacatepec </t>
  </si>
  <si>
    <t xml:space="preserve">Cerro del Venado </t>
  </si>
  <si>
    <t xml:space="preserve">El Venado </t>
  </si>
  <si>
    <t>Quema para Preparación de Siembra</t>
  </si>
  <si>
    <t>Ejidal</t>
  </si>
  <si>
    <t>Fuera ANP</t>
  </si>
  <si>
    <t>FANP</t>
  </si>
  <si>
    <t>sábado</t>
  </si>
  <si>
    <t xml:space="preserve">Predio Pago por Servicios Ambientales </t>
  </si>
  <si>
    <t xml:space="preserve">Margarito Rodriguez Rodriguez </t>
  </si>
  <si>
    <t>19-17-0009</t>
  </si>
  <si>
    <t>19-17-0010</t>
  </si>
  <si>
    <t>19-17-0011</t>
  </si>
  <si>
    <t>19-17-0012</t>
  </si>
  <si>
    <t>19-17-0013</t>
  </si>
  <si>
    <t>Tepoztlán</t>
  </si>
  <si>
    <t xml:space="preserve">La Quinta Piedra </t>
  </si>
  <si>
    <t xml:space="preserve">Quema de Cañaveral </t>
  </si>
  <si>
    <t xml:space="preserve">German Rodriguez Garduño </t>
  </si>
  <si>
    <t xml:space="preserve">Protección Ambiental </t>
  </si>
  <si>
    <t xml:space="preserve">Cerro de la Culebra </t>
  </si>
  <si>
    <t>Tetecolala</t>
  </si>
  <si>
    <t xml:space="preserve">Nor - Poniente </t>
  </si>
  <si>
    <t xml:space="preserve">La Cañada </t>
  </si>
  <si>
    <t xml:space="preserve">El Pochote </t>
  </si>
  <si>
    <t>domingo</t>
  </si>
  <si>
    <t>lunes</t>
  </si>
  <si>
    <t>martes</t>
  </si>
  <si>
    <t>19-17-0014</t>
  </si>
  <si>
    <t>19-17-0015</t>
  </si>
  <si>
    <t>km8</t>
  </si>
  <si>
    <t>PSA</t>
  </si>
  <si>
    <t>Ixtlaltecuahuitl</t>
  </si>
  <si>
    <t>19-17-0016</t>
  </si>
  <si>
    <t>Yautepec</t>
  </si>
  <si>
    <t>Basurero</t>
  </si>
  <si>
    <t>Oeste</t>
  </si>
  <si>
    <t>08-feb-15:30</t>
  </si>
  <si>
    <t>08-feb-15:40</t>
  </si>
  <si>
    <t>08-feb-15:45</t>
  </si>
  <si>
    <t>08-feb-16:25</t>
  </si>
  <si>
    <t>08-feb-16:45</t>
  </si>
  <si>
    <t>08-feb-17:30</t>
  </si>
  <si>
    <t>08-feb-18:30</t>
  </si>
  <si>
    <t>08-feb-19:30</t>
  </si>
  <si>
    <t>Donato Perez Martinez</t>
  </si>
  <si>
    <t>Brigada Contingencias</t>
  </si>
  <si>
    <t>19-17-0017</t>
  </si>
  <si>
    <t>19-17-0018</t>
  </si>
  <si>
    <t>La tranca</t>
  </si>
  <si>
    <t>19-17-0019</t>
  </si>
  <si>
    <t xml:space="preserve">Amilcingo </t>
  </si>
  <si>
    <t xml:space="preserve">Norte </t>
  </si>
  <si>
    <t xml:space="preserve">Otros </t>
  </si>
  <si>
    <t>Población Civil</t>
  </si>
  <si>
    <t xml:space="preserve">PC Tepoztlán </t>
  </si>
  <si>
    <t xml:space="preserve">PC Zacatepec </t>
  </si>
  <si>
    <t>19-17-0020</t>
  </si>
  <si>
    <t xml:space="preserve">Paso de Leyva </t>
  </si>
  <si>
    <t xml:space="preserve">Bosque de Pino </t>
  </si>
  <si>
    <t>BP</t>
  </si>
  <si>
    <t>19-17-0021</t>
  </si>
  <si>
    <t>Km 8</t>
  </si>
  <si>
    <t>17-feb-14:00</t>
  </si>
  <si>
    <t>19-17-0022</t>
  </si>
  <si>
    <t>19-17-0023</t>
  </si>
  <si>
    <t>Maquilicruz</t>
  </si>
  <si>
    <t>Gabriel Flores Alonzo</t>
  </si>
  <si>
    <t xml:space="preserve">Las Torres </t>
  </si>
  <si>
    <t>Vandalismo</t>
  </si>
  <si>
    <t xml:space="preserve">Reserva Estatal Sierra Montenegro </t>
  </si>
  <si>
    <t>RESM</t>
  </si>
  <si>
    <t>San Juan Tlacotenco</t>
  </si>
  <si>
    <t>19-17-0024</t>
  </si>
  <si>
    <t xml:space="preserve">El Oclayuca </t>
  </si>
  <si>
    <t>19-17-0025</t>
  </si>
  <si>
    <t>19-17-0026</t>
  </si>
  <si>
    <t xml:space="preserve">La Cruz </t>
  </si>
  <si>
    <t>Fierro del Toro</t>
  </si>
  <si>
    <t xml:space="preserve">Otras Actividades Productivas </t>
  </si>
  <si>
    <t xml:space="preserve">Hornos de Carbón </t>
  </si>
  <si>
    <t>Bosque Mesofilo</t>
  </si>
  <si>
    <t>BM</t>
  </si>
  <si>
    <t>19-17-0027</t>
  </si>
  <si>
    <t>Amatlan</t>
  </si>
  <si>
    <t>Guayavillos</t>
  </si>
  <si>
    <t>Municipios</t>
  </si>
  <si>
    <t>21-feb-11:40</t>
  </si>
  <si>
    <t>21-feb-11:45</t>
  </si>
  <si>
    <t>21-feb-11:50</t>
  </si>
  <si>
    <t>21-feb-12:55</t>
  </si>
  <si>
    <t>21-feb-13:00</t>
  </si>
  <si>
    <t>21-feb-17:00</t>
  </si>
  <si>
    <t>21-feb-17:30</t>
  </si>
  <si>
    <t>21-feb-19:00</t>
  </si>
  <si>
    <t>19-17-0028</t>
  </si>
  <si>
    <t>Texilacca</t>
  </si>
  <si>
    <t>21-feb-13:30</t>
  </si>
  <si>
    <t>21-feb-13:32</t>
  </si>
  <si>
    <t>21-feb-13:35</t>
  </si>
  <si>
    <t>21-feb-14:00</t>
  </si>
  <si>
    <t>21-feb-14:05</t>
  </si>
  <si>
    <t>21-feb-15:30</t>
  </si>
  <si>
    <t>21-feb-16:10</t>
  </si>
  <si>
    <t>Jesus Fermin Martinez Sanchez</t>
  </si>
  <si>
    <t>19-17-0029</t>
  </si>
  <si>
    <t>Cruz del Niño</t>
  </si>
  <si>
    <t>21-feb-16:00</t>
  </si>
  <si>
    <t>21-feb-16:05</t>
  </si>
  <si>
    <t>21-feb-17:40</t>
  </si>
  <si>
    <t>22-feb-08:55</t>
  </si>
  <si>
    <t>22-feb-11:30</t>
  </si>
  <si>
    <t>22-feb-13:30</t>
  </si>
  <si>
    <t>22-feb-14:50</t>
  </si>
  <si>
    <t>BQP</t>
  </si>
  <si>
    <t>Milpillas</t>
  </si>
  <si>
    <t>22-feb-14:10</t>
  </si>
  <si>
    <t>22-feb-14:20</t>
  </si>
  <si>
    <t>22-feb-14:25</t>
  </si>
  <si>
    <t>22-feb-15:15</t>
  </si>
  <si>
    <t>22-feb-15:20</t>
  </si>
  <si>
    <t>22-feb-16:20</t>
  </si>
  <si>
    <t>22-feb-17:00</t>
  </si>
  <si>
    <t>22-feb-17:50</t>
  </si>
  <si>
    <t>19-17-0031</t>
  </si>
  <si>
    <t>19-17-0030</t>
  </si>
  <si>
    <t xml:space="preserve">Gasera </t>
  </si>
  <si>
    <t>22-feb-13:05</t>
  </si>
  <si>
    <t>22-feb-13:15</t>
  </si>
  <si>
    <t>22-feb-14:00</t>
  </si>
  <si>
    <t>22-feb-17:15</t>
  </si>
  <si>
    <t>22-feb-19:15</t>
  </si>
  <si>
    <t>Hesiquio Antonino Rios Ortega</t>
  </si>
  <si>
    <t>22-feb-13:10</t>
  </si>
  <si>
    <t>22-feb-14:15</t>
  </si>
  <si>
    <t>22-feb-16:00</t>
  </si>
  <si>
    <t>19-17-0032</t>
  </si>
  <si>
    <t>Tecsaloca</t>
  </si>
  <si>
    <t>23-feb-12:30</t>
  </si>
  <si>
    <t>23-feb-12:35</t>
  </si>
  <si>
    <t>23-feb-12:40</t>
  </si>
  <si>
    <t>23-feb-15:00</t>
  </si>
  <si>
    <t>23-feb-15:10</t>
  </si>
  <si>
    <t>23-feb-17:00</t>
  </si>
  <si>
    <t>23-feb-17:30</t>
  </si>
  <si>
    <t>23-feb-21:00</t>
  </si>
  <si>
    <t>Pc de Tlalnepantla</t>
  </si>
  <si>
    <t>19-17-0033</t>
  </si>
  <si>
    <t>Oclayuca</t>
  </si>
  <si>
    <t>23-feb-11:10</t>
  </si>
  <si>
    <t>23-feb-11:15</t>
  </si>
  <si>
    <t>23-feb-11:20</t>
  </si>
  <si>
    <t>23-feb-14:00</t>
  </si>
  <si>
    <t>23-feb-14:05</t>
  </si>
  <si>
    <t>23-feb-19:00</t>
  </si>
  <si>
    <t>23-feb-22:00</t>
  </si>
  <si>
    <t>19-17-0034</t>
  </si>
  <si>
    <t>Arenal</t>
  </si>
  <si>
    <t>Central 44</t>
  </si>
  <si>
    <t>23-feb-12:20</t>
  </si>
  <si>
    <t>23-feb-12:25</t>
  </si>
  <si>
    <t>23-feb-12:28</t>
  </si>
  <si>
    <t>23-feb-14:30</t>
  </si>
  <si>
    <t>23-feb-14:35</t>
  </si>
  <si>
    <t>23-feb17:00</t>
  </si>
  <si>
    <t>Bosque de Oyamel</t>
  </si>
  <si>
    <t>19-17-0035</t>
  </si>
  <si>
    <t>Potreritos</t>
  </si>
  <si>
    <t>23-feb-17:22</t>
  </si>
  <si>
    <t>23-feb-17:25</t>
  </si>
  <si>
    <t>23-feb-17:40</t>
  </si>
  <si>
    <t>23-feb-17:45</t>
  </si>
  <si>
    <t>23-feb-20:08</t>
  </si>
  <si>
    <t>BA</t>
  </si>
  <si>
    <t>19-17-0036</t>
  </si>
  <si>
    <t>Loma Larga</t>
  </si>
  <si>
    <t>24-feb-09:15</t>
  </si>
  <si>
    <t>24-feb-09:20</t>
  </si>
  <si>
    <t>24-feb-09:35</t>
  </si>
  <si>
    <t>24-feb-10:40</t>
  </si>
  <si>
    <t>24-feb-10:45</t>
  </si>
  <si>
    <t>24-feb-12:00</t>
  </si>
  <si>
    <t>24-feb-12:30</t>
  </si>
  <si>
    <t>24-feb-13:30</t>
  </si>
  <si>
    <t>Corena</t>
  </si>
  <si>
    <t>19-17-0037</t>
  </si>
  <si>
    <t xml:space="preserve"> Km 8</t>
  </si>
  <si>
    <t>24-feb-14:30</t>
  </si>
  <si>
    <t>24-feb-14:35</t>
  </si>
  <si>
    <t>24-feb-14:40</t>
  </si>
  <si>
    <t>24-feb-15:30</t>
  </si>
  <si>
    <t>24-feb-15:35</t>
  </si>
  <si>
    <t>24-feb16:30</t>
  </si>
  <si>
    <t>24-feb17:00</t>
  </si>
  <si>
    <t>24-feb-18:00</t>
  </si>
  <si>
    <t>19-17-0038</t>
  </si>
  <si>
    <t xml:space="preserve">Colonia Obrera </t>
  </si>
  <si>
    <t>24-feb-15:45</t>
  </si>
  <si>
    <t>24-feb-15:55</t>
  </si>
  <si>
    <t>24-feb-16:00</t>
  </si>
  <si>
    <t>24-feb-17:10</t>
  </si>
  <si>
    <t>24-feb-17:15</t>
  </si>
  <si>
    <t>24-feb-19:00</t>
  </si>
  <si>
    <t>24-feb-19:20</t>
  </si>
  <si>
    <t>24-feb-20:30</t>
  </si>
  <si>
    <t>19-17-0039</t>
  </si>
  <si>
    <t>19-17-0040</t>
  </si>
  <si>
    <t>19-17-0041</t>
  </si>
  <si>
    <t xml:space="preserve">Cuernavaca </t>
  </si>
  <si>
    <t xml:space="preserve">Ahuatepec </t>
  </si>
  <si>
    <t xml:space="preserve">El Alarcon </t>
  </si>
  <si>
    <t xml:space="preserve">Lomas Verdes </t>
  </si>
  <si>
    <t xml:space="preserve">Teczilac </t>
  </si>
  <si>
    <t>19-17-0042</t>
  </si>
  <si>
    <t>19-17-0043</t>
  </si>
  <si>
    <t>19-17-0044</t>
  </si>
  <si>
    <t>19-17-0045</t>
  </si>
  <si>
    <t xml:space="preserve">Los Guayabos </t>
  </si>
  <si>
    <t xml:space="preserve">Cañon de Lobos </t>
  </si>
  <si>
    <t xml:space="preserve">Fumadores </t>
  </si>
  <si>
    <t>Tetzilacac</t>
  </si>
  <si>
    <t>Movil</t>
  </si>
  <si>
    <t>Brigada sierra 34</t>
  </si>
  <si>
    <t xml:space="preserve">El Basurero </t>
  </si>
  <si>
    <t xml:space="preserve">Sur - Oriente </t>
  </si>
  <si>
    <t xml:space="preserve">Brigada Contingencias, PC Coatlan </t>
  </si>
  <si>
    <t>19-17-0048</t>
  </si>
  <si>
    <t>Xochicala</t>
  </si>
  <si>
    <t>19-17-0046</t>
  </si>
  <si>
    <t>KM 8</t>
  </si>
  <si>
    <t>19-17-0047</t>
  </si>
  <si>
    <t>Ocolluhualoc</t>
  </si>
  <si>
    <t>Brigada Municipal</t>
  </si>
  <si>
    <t>09-feb-17:13</t>
  </si>
  <si>
    <t>19-17-0049</t>
  </si>
  <si>
    <t>Villa Santiago</t>
  </si>
  <si>
    <t xml:space="preserve"> Municipal (Milpa Alta)</t>
  </si>
  <si>
    <t>19-17-0050</t>
  </si>
  <si>
    <t>San Miguel</t>
  </si>
  <si>
    <t>19-17-0051</t>
  </si>
  <si>
    <t>Potreros</t>
  </si>
  <si>
    <t xml:space="preserve">Puente de Ixtla </t>
  </si>
  <si>
    <t>10</t>
  </si>
  <si>
    <t>PNTP - CBC</t>
  </si>
  <si>
    <t>Sur - Poniente</t>
  </si>
  <si>
    <t>19-17-0052</t>
  </si>
  <si>
    <t>19-17-0053</t>
  </si>
  <si>
    <t xml:space="preserve">La Lagunita </t>
  </si>
  <si>
    <t xml:space="preserve">La Joya </t>
  </si>
  <si>
    <t>19-17-0054</t>
  </si>
  <si>
    <t>19-17-0055</t>
  </si>
  <si>
    <t>Chisco</t>
  </si>
  <si>
    <t xml:space="preserve">Cazadores </t>
  </si>
  <si>
    <t>19-17-0056</t>
  </si>
  <si>
    <t>19-17-0057</t>
  </si>
  <si>
    <t>19-17-0058</t>
  </si>
  <si>
    <t xml:space="preserve">Sur </t>
  </si>
  <si>
    <t xml:space="preserve">km 7 de la carretera Cuernavaca - Zempoala </t>
  </si>
  <si>
    <t xml:space="preserve">km 55 de la carretera federal México – Cuernavaca </t>
  </si>
  <si>
    <t xml:space="preserve">Tlalcotlalpan </t>
  </si>
  <si>
    <t>Mixto</t>
  </si>
  <si>
    <t>marzo</t>
  </si>
  <si>
    <t>19-17-0059</t>
  </si>
  <si>
    <t>19-17-0060</t>
  </si>
  <si>
    <t>19-17-0061</t>
  </si>
  <si>
    <t xml:space="preserve">Miacatlan </t>
  </si>
  <si>
    <t xml:space="preserve">Ajuchitlan </t>
  </si>
  <si>
    <t xml:space="preserve">Pastizal Natural </t>
  </si>
  <si>
    <t>PN</t>
  </si>
  <si>
    <t>19-17-0062</t>
  </si>
  <si>
    <t xml:space="preserve">Texilaca </t>
  </si>
  <si>
    <t>Bosque de Encino - Pino</t>
  </si>
  <si>
    <t>19-17-0063</t>
  </si>
  <si>
    <t>19-17-0064</t>
  </si>
  <si>
    <t>19-17-0065</t>
  </si>
  <si>
    <t xml:space="preserve">Joyas del Diablo </t>
  </si>
  <si>
    <t>12/03/219 13:30</t>
  </si>
  <si>
    <t>El Tezontle</t>
  </si>
  <si>
    <t>PNT</t>
  </si>
  <si>
    <t>19-17-0066</t>
  </si>
  <si>
    <t>Coajomulco</t>
  </si>
  <si>
    <t>Cerro del Jardin</t>
  </si>
  <si>
    <t>19-17-0067</t>
  </si>
  <si>
    <t>19-17-0068</t>
  </si>
  <si>
    <t>Cuilotito</t>
  </si>
  <si>
    <t>19-17-0069</t>
  </si>
  <si>
    <t>19-17-0070</t>
  </si>
  <si>
    <t>19-17-0071</t>
  </si>
  <si>
    <t xml:space="preserve">Huertas de San Pedro </t>
  </si>
  <si>
    <t xml:space="preserve">Bomberos Cuernavaca </t>
  </si>
  <si>
    <t>Ocotecatl</t>
  </si>
  <si>
    <t xml:space="preserve">Tlacoyote CDMX Comunal </t>
  </si>
  <si>
    <t>19-17-0072</t>
  </si>
  <si>
    <t>Cauhacuhalmetla</t>
  </si>
  <si>
    <t>Bosque de Encino</t>
  </si>
  <si>
    <t>BQ</t>
  </si>
  <si>
    <t>19-17-0073</t>
  </si>
  <si>
    <t>km 8</t>
  </si>
  <si>
    <t>19-17-0074</t>
  </si>
  <si>
    <t>Atescapa</t>
  </si>
  <si>
    <t>CONANP</t>
  </si>
  <si>
    <t>CONANP, PC Huitzilac</t>
  </si>
  <si>
    <t xml:space="preserve">Parque Nacional Lagunas de Zempoala </t>
  </si>
  <si>
    <t>PNLZ</t>
  </si>
  <si>
    <t>19-17-0075</t>
  </si>
  <si>
    <t>Las Tetillas</t>
  </si>
  <si>
    <t>19-17-0076</t>
  </si>
  <si>
    <t>19-17-0077</t>
  </si>
  <si>
    <t>19-17-0078</t>
  </si>
  <si>
    <t>19-17-0079</t>
  </si>
  <si>
    <t>Cañada del Muerto</t>
  </si>
  <si>
    <t>El Pedregalito</t>
  </si>
  <si>
    <t>19-17-0080</t>
  </si>
  <si>
    <t>19-17-0081</t>
  </si>
  <si>
    <t>Tezontle</t>
  </si>
  <si>
    <t>19-17-0082</t>
  </si>
  <si>
    <t>Ocoyotongo</t>
  </si>
  <si>
    <t>19-17-0083</t>
  </si>
  <si>
    <t>Tetillas</t>
  </si>
  <si>
    <t>19-17-0084</t>
  </si>
  <si>
    <t>Pedregal</t>
  </si>
  <si>
    <t>19-17-0085</t>
  </si>
  <si>
    <t>25-mar15:50</t>
  </si>
  <si>
    <t>Oxotitla</t>
  </si>
  <si>
    <t>Fogatas</t>
  </si>
  <si>
    <t>Fogatas de Paseantes</t>
  </si>
  <si>
    <t>19-17-0086</t>
  </si>
  <si>
    <t>19-17-0087</t>
  </si>
  <si>
    <t>19-17-0088</t>
  </si>
  <si>
    <t>19-17-0089</t>
  </si>
  <si>
    <t>19-17-0090</t>
  </si>
  <si>
    <t xml:space="preserve">Las Cruces </t>
  </si>
  <si>
    <t xml:space="preserve">Brigada Contingencias, CONANP, Voluntarios </t>
  </si>
  <si>
    <t xml:space="preserve">Santa Maria </t>
  </si>
  <si>
    <t xml:space="preserve">La Chita </t>
  </si>
  <si>
    <t xml:space="preserve">La Alarcon </t>
  </si>
  <si>
    <t>19-17-0091</t>
  </si>
  <si>
    <t xml:space="preserve">Los Pilares, Cerro de la Gloria, Laguna de Hueyapan </t>
  </si>
  <si>
    <t>8</t>
  </si>
  <si>
    <t>7</t>
  </si>
  <si>
    <t>SEDENA, CONANP, SDS,  Municipal</t>
  </si>
  <si>
    <t>19-17-0092</t>
  </si>
  <si>
    <t>19-17-0093</t>
  </si>
  <si>
    <t>Cruz del Mielero</t>
  </si>
  <si>
    <t>19-17-0094</t>
  </si>
  <si>
    <t>Tlaltizapan</t>
  </si>
  <si>
    <t>Las Buganbilias</t>
  </si>
  <si>
    <t>Pc Municipal</t>
  </si>
  <si>
    <t>19-17-0095</t>
  </si>
  <si>
    <t>Los Lagartos</t>
  </si>
  <si>
    <t>19-17-0096</t>
  </si>
  <si>
    <t>19-17-0097</t>
  </si>
  <si>
    <t>19-17-0098</t>
  </si>
  <si>
    <t>Ocotepec</t>
  </si>
  <si>
    <t>30-mor 19:30</t>
  </si>
  <si>
    <t>19-17-0099</t>
  </si>
  <si>
    <t>19-17-0100</t>
  </si>
  <si>
    <t>Loma de Tenango</t>
  </si>
  <si>
    <t>19-17-0101</t>
  </si>
  <si>
    <t>Llaustitla</t>
  </si>
  <si>
    <t>PNLZ  - CBC</t>
  </si>
  <si>
    <t>Teacontitla</t>
  </si>
  <si>
    <t>Brigada Contingencias,  CONANP</t>
  </si>
  <si>
    <t>km 76 + 200  de la 89</t>
  </si>
  <si>
    <t>19-17-0102</t>
  </si>
  <si>
    <t>19-17-0103</t>
  </si>
  <si>
    <t>19-17-0104</t>
  </si>
  <si>
    <t xml:space="preserve">Jiutepec </t>
  </si>
  <si>
    <t xml:space="preserve">Cerro de la Corona </t>
  </si>
  <si>
    <t xml:space="preserve">Brigada Contingencias, PC Jiutepec </t>
  </si>
  <si>
    <t xml:space="preserve">Quema de Basurero </t>
  </si>
  <si>
    <t>abril</t>
  </si>
  <si>
    <t xml:space="preserve">El Tecolote </t>
  </si>
  <si>
    <t>19-17-0105</t>
  </si>
  <si>
    <t>19-17-0106</t>
  </si>
  <si>
    <t>19-17-0107</t>
  </si>
  <si>
    <t>19-17-0108</t>
  </si>
  <si>
    <t>19-17-0109</t>
  </si>
  <si>
    <t>19-17-0110</t>
  </si>
  <si>
    <t>19-17-0111</t>
  </si>
  <si>
    <t>19-17-0112</t>
  </si>
  <si>
    <t>19-17-0113</t>
  </si>
  <si>
    <t>19-17-0114</t>
  </si>
  <si>
    <t>19-17-0115</t>
  </si>
  <si>
    <t xml:space="preserve">Piedras Anchas </t>
  </si>
  <si>
    <t>Ezequiel Rojas Arevalo</t>
  </si>
  <si>
    <t xml:space="preserve">Camaleon </t>
  </si>
  <si>
    <t xml:space="preserve">Loma de Tenango, Loma de Tetepetla, Las Maromas </t>
  </si>
  <si>
    <t xml:space="preserve">Francisco Manuel Romano Ramirez </t>
  </si>
  <si>
    <t>Sur  - Norte</t>
  </si>
  <si>
    <t>Poniente del Chalchuca, Mixtepec, El Pedregal, Ocoyohualo</t>
  </si>
  <si>
    <t>CONANP, PC, PA</t>
  </si>
  <si>
    <t>Cuescometla, Jaguey, Tlacuili</t>
  </si>
  <si>
    <t>Camaleon, PA, PC</t>
  </si>
  <si>
    <t>fijo</t>
  </si>
  <si>
    <t xml:space="preserve">Brigada de Contingencias, Voluntarios </t>
  </si>
  <si>
    <t xml:space="preserve">Brigada Contingencias, Santa Maria, PC </t>
  </si>
  <si>
    <t>CONANP, Voluntarios, San Juan, Union Camionera</t>
  </si>
  <si>
    <t xml:space="preserve">PNLZ </t>
  </si>
  <si>
    <t>Temixco</t>
  </si>
  <si>
    <t>El Jumil</t>
  </si>
  <si>
    <t>Etiquetas de fila</t>
  </si>
  <si>
    <t>Fraccionamiento del Camil</t>
  </si>
  <si>
    <t xml:space="preserve">km 76 de la Autopista Mexico - Cuernavaca </t>
  </si>
  <si>
    <t xml:space="preserve">km 76 + 700 de la Autopista Mexico - Cuernavaca </t>
  </si>
  <si>
    <t>Horacio Torres Agular</t>
  </si>
  <si>
    <t>Sector Privado y Social</t>
  </si>
  <si>
    <t xml:space="preserve">Santa Maria, Tetela del Monte </t>
  </si>
  <si>
    <t>Loma de Tenango, Loma de Tetepetla, La Canoa</t>
  </si>
  <si>
    <t>Miguel Angel Rodriguez Guerero</t>
  </si>
  <si>
    <t>CONANP, Contingencias, Bomberos Cuernavaca, Santa Maria, Tetela del Monte, CEPC</t>
  </si>
  <si>
    <t>19-17-0116</t>
  </si>
  <si>
    <t>19-17-0117</t>
  </si>
  <si>
    <t>El Puente</t>
  </si>
  <si>
    <t>19-17-0118</t>
  </si>
  <si>
    <t>El Zacatonal</t>
  </si>
  <si>
    <t>19-17-0119</t>
  </si>
  <si>
    <t>Cuacometla</t>
  </si>
  <si>
    <t>19-17-0120</t>
  </si>
  <si>
    <t>Pc. Municipal</t>
  </si>
  <si>
    <t>19-17-0121</t>
  </si>
  <si>
    <t>19-17-0122</t>
  </si>
  <si>
    <t>19-17-0123</t>
  </si>
  <si>
    <t>19-17-0124</t>
  </si>
  <si>
    <t>La Ahuacatera</t>
  </si>
  <si>
    <t>Margarito Galeana Moreno</t>
  </si>
  <si>
    <t>F16</t>
  </si>
  <si>
    <t>Yecapixtla</t>
  </si>
  <si>
    <t>PC Yecapixtla</t>
  </si>
  <si>
    <t>Cerro Yoteco</t>
  </si>
  <si>
    <t>19-17-0125</t>
  </si>
  <si>
    <t>El Silvato</t>
  </si>
  <si>
    <t>19-17-0126</t>
  </si>
  <si>
    <t>Sierra Encantada</t>
  </si>
  <si>
    <t>Moderado</t>
  </si>
  <si>
    <t xml:space="preserve">Brigada Contingencias </t>
  </si>
  <si>
    <t>Huertas de San Pedro</t>
  </si>
  <si>
    <t xml:space="preserve">km 75 de la  Autopista Mexico - Cuernavaca </t>
  </si>
  <si>
    <t xml:space="preserve">km 75+400 de la Autopista Mexico -  Cuernavaca </t>
  </si>
  <si>
    <t>19-17-0127</t>
  </si>
  <si>
    <t>19-17-0128</t>
  </si>
  <si>
    <t>19-17-0129</t>
  </si>
  <si>
    <t>km 9 de la Carretera Federal Cuernavaca - Tepoztlán</t>
  </si>
  <si>
    <t xml:space="preserve">Benjamin Gonzalez Villegas </t>
  </si>
  <si>
    <t>F16, F17, Camaleon</t>
  </si>
  <si>
    <t>Ixotitla</t>
  </si>
  <si>
    <t>Coajomulco, San Juan Tlacotenco</t>
  </si>
  <si>
    <t xml:space="preserve">Chichinautzin </t>
  </si>
  <si>
    <t>PNT - CBC</t>
  </si>
  <si>
    <t>19-17-0130</t>
  </si>
  <si>
    <t>19-17-0131</t>
  </si>
  <si>
    <t>Tetela del volcan</t>
  </si>
  <si>
    <t>Comaselo</t>
  </si>
  <si>
    <t>Brigada F18</t>
  </si>
  <si>
    <t>Alvaro Perez Martinez</t>
  </si>
  <si>
    <t>Brigada F 18</t>
  </si>
  <si>
    <t>19-17-0133</t>
  </si>
  <si>
    <t>19-17-0132</t>
  </si>
  <si>
    <t>19-17-0134</t>
  </si>
  <si>
    <t>Loma San Isidro</t>
  </si>
  <si>
    <t>Wuitecocan</t>
  </si>
  <si>
    <t>Cerro Tezonco</t>
  </si>
  <si>
    <t>Bigada Municipal</t>
  </si>
  <si>
    <t>19-17-0135</t>
  </si>
  <si>
    <t>Corral de Antonio</t>
  </si>
  <si>
    <t>02-may 15.00</t>
  </si>
  <si>
    <t>Puente de Palo</t>
  </si>
  <si>
    <t>Pedro Riegos Avila</t>
  </si>
  <si>
    <t>Brigada CONANP</t>
  </si>
  <si>
    <t xml:space="preserve">Brigada 1, 2, 3, Pino 02, CONANP, R. Jilgueros, San Juan </t>
  </si>
  <si>
    <t>Brigada Contingencias, F16, PC</t>
  </si>
  <si>
    <t>R. Tlalnepantla, Brigada CONANP</t>
  </si>
  <si>
    <t>R. Jilgueros,Voluntarios</t>
  </si>
  <si>
    <t>Bigada F16, R. Tlalnepantla, CONANP</t>
  </si>
  <si>
    <t>Suma de Superficie Afectada (HA)</t>
  </si>
  <si>
    <t>mayo</t>
  </si>
  <si>
    <t>19-17-0136</t>
  </si>
  <si>
    <t>19-17-0137</t>
  </si>
  <si>
    <t>19-17-0138</t>
  </si>
  <si>
    <t>Cuashinca</t>
  </si>
  <si>
    <t>R,Tepoztlan,Otros,SDS,Pc Tepoztlan</t>
  </si>
  <si>
    <t>19-17-0139</t>
  </si>
  <si>
    <t>El Casahuate</t>
  </si>
  <si>
    <t xml:space="preserve">R,Tepoztlan </t>
  </si>
  <si>
    <t>19-17-0140</t>
  </si>
  <si>
    <t>km 74.400 Mex-Cuern Autopista</t>
  </si>
  <si>
    <t>Otras de pendencias,Voluntarios</t>
  </si>
  <si>
    <t>19-17-0141</t>
  </si>
  <si>
    <t>19-17-0142</t>
  </si>
  <si>
    <t>19-17-0143</t>
  </si>
  <si>
    <t>19-17-0144</t>
  </si>
  <si>
    <t>19-17-0145</t>
  </si>
  <si>
    <t>19-17-0146</t>
  </si>
  <si>
    <t>19-17-0147</t>
  </si>
  <si>
    <t>Chamilpa</t>
  </si>
  <si>
    <t>Puente Blanco</t>
  </si>
  <si>
    <t>11:may 09:50</t>
  </si>
  <si>
    <t>Brigada F17</t>
  </si>
  <si>
    <t>Oyacalco</t>
  </si>
  <si>
    <t>R-Tlalnepantla y San Jose.Brigada CONANP</t>
  </si>
  <si>
    <t>El Jaguar,Ocelotzin,Los Gemelos</t>
  </si>
  <si>
    <t>Ing. Miguel Angel Rodriguez Gurrero</t>
  </si>
  <si>
    <t>R-Amatlan,Tepoztlan,Camaleon,Contingencias,F16,Pc,voluntarios</t>
  </si>
  <si>
    <t>Sur Oriente</t>
  </si>
  <si>
    <t>R-Tlalnepantla,Tepoztlan,Amatlan,CONANP,Voluntarios</t>
  </si>
  <si>
    <t>Cuiloyo</t>
  </si>
  <si>
    <t>Brigada Conanp</t>
  </si>
  <si>
    <t>Tlayacapan</t>
  </si>
  <si>
    <t>san jose de los Laureles</t>
  </si>
  <si>
    <t>Xicotla</t>
  </si>
  <si>
    <t>Santiago Cervantes Soriano</t>
  </si>
  <si>
    <t>R-Amatlan,San Jose,F16,F18,PA Tlayacapan,PcTlayacapan y San Jose,Voluntarios</t>
  </si>
  <si>
    <t>Pantitlan</t>
  </si>
  <si>
    <t>R-San Jose,F16,Pc Tlayacapan</t>
  </si>
  <si>
    <t>Santo Domingo</t>
  </si>
  <si>
    <t>Tepemaxalo</t>
  </si>
  <si>
    <t>R-Amatlan ,Tepoztlan,F16,Pc Tepoztlan,</t>
  </si>
  <si>
    <t>19-17-0148</t>
  </si>
  <si>
    <t>la Olla</t>
  </si>
  <si>
    <t>11-may 11.30</t>
  </si>
  <si>
    <t>Agustin Diaz Hernandez</t>
  </si>
  <si>
    <t>R-Coajomulco</t>
  </si>
  <si>
    <t>19-17-0149</t>
  </si>
  <si>
    <t>Km1 mex-cuautla</t>
  </si>
  <si>
    <t>sur</t>
  </si>
  <si>
    <t>CONANP(Camaleon),F16</t>
  </si>
  <si>
    <t>19-17-0150</t>
  </si>
  <si>
    <t>19-17-0151</t>
  </si>
  <si>
    <t>San Nicolas</t>
  </si>
  <si>
    <t>R-Tlalnepantla, CONANP</t>
  </si>
  <si>
    <t>19-17-0152</t>
  </si>
  <si>
    <t>F17</t>
  </si>
  <si>
    <t>Barrio Pobre</t>
  </si>
  <si>
    <t>10-may 20.50</t>
  </si>
  <si>
    <t>R-Tlalnepantla,San Jose,CONANP TlalnepantlaPoseedores de terrenos Forestales</t>
  </si>
  <si>
    <t>19-17-0153</t>
  </si>
  <si>
    <t>19-17-0154</t>
  </si>
  <si>
    <t>Actividades Apicolas</t>
  </si>
  <si>
    <t>Camaleon</t>
  </si>
  <si>
    <t>Porte suelos</t>
  </si>
  <si>
    <t>Juan Carlos Arroyo Guz</t>
  </si>
  <si>
    <t>CONANP Huitzilac</t>
  </si>
  <si>
    <t>19-17-0155</t>
  </si>
  <si>
    <t>km 76+300 autopista Mex-cuer</t>
  </si>
  <si>
    <t>14-may21:30</t>
  </si>
  <si>
    <t>F16,Conanp,Otras Dependencias,Gob.del Municipio,Voluntarios</t>
  </si>
  <si>
    <t>Acatlemanca</t>
  </si>
  <si>
    <t>R-Amatlan,Tepoztlan,Camaleon,Proteccion Ambiental,Pc</t>
  </si>
  <si>
    <t>19-17-0156</t>
  </si>
  <si>
    <t>19-17-0157</t>
  </si>
  <si>
    <t>Huetlatelicampa</t>
  </si>
  <si>
    <t>R-Coajomulco,Voluntarios</t>
  </si>
  <si>
    <t>19-17-0158</t>
  </si>
  <si>
    <t>km 76+200 de la 89</t>
  </si>
  <si>
    <t>Margaito Rodriguez Rodriguez</t>
  </si>
  <si>
    <t>19-17-0159</t>
  </si>
  <si>
    <t>km 1 de la 89 a Cuautla</t>
  </si>
  <si>
    <t>Sur19</t>
  </si>
  <si>
    <t>(en blanco)</t>
  </si>
  <si>
    <t>Tlajotla</t>
  </si>
  <si>
    <t>Picacho. Ocotal,Peña del Bosque</t>
  </si>
  <si>
    <t>CONAFOR,Gob del Estado,Pc Municipal,PA,Voluntarios</t>
  </si>
  <si>
    <t xml:space="preserve">Bosque de Encino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</si>
</sst>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00"/>
    <numFmt numFmtId="166" formatCode="dd\-mmm\ hh:mm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scheme val="minor"/>
    </font>
    <font>
      <b/>
      <sz val="12"/>
      <color rgb="FF00000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66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64" fontId="1" fillId="3" borderId="0" xfId="0" applyNumberFormat="1" applyFont="1" applyFill="1" applyBorder="1" applyAlignment="1">
      <alignment horizontal="center" vertical="center"/>
    </xf>
    <xf numFmtId="2" fontId="1" fillId="5" borderId="0" xfId="0" applyNumberFormat="1" applyFont="1" applyFill="1" applyBorder="1" applyAlignment="1">
      <alignment horizontal="center" vertical="center"/>
    </xf>
    <xf numFmtId="2" fontId="1" fillId="6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4" fontId="0" fillId="0" borderId="0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66" fontId="0" fillId="0" borderId="0" xfId="0" applyNumberForma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" fontId="0" fillId="0" borderId="0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20" fontId="0" fillId="0" borderId="0" xfId="0" applyNumberFormat="1" applyFill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16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1" fontId="0" fillId="0" borderId="0" xfId="0" applyNumberForma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14" fontId="8" fillId="2" borderId="0" xfId="0" applyNumberFormat="1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14" fontId="1" fillId="9" borderId="0" xfId="0" applyNumberFormat="1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/>
    </xf>
    <xf numFmtId="15" fontId="1" fillId="9" borderId="0" xfId="0" applyNumberFormat="1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/>
    </xf>
    <xf numFmtId="2" fontId="1" fillId="11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0" fontId="1" fillId="13" borderId="0" xfId="0" applyNumberFormat="1" applyFont="1" applyFill="1" applyBorder="1" applyAlignment="1">
      <alignment horizontal="center" vertical="center"/>
    </xf>
    <xf numFmtId="0" fontId="1" fillId="14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2" fontId="1" fillId="10" borderId="0" xfId="0" applyNumberFormat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46" fontId="0" fillId="0" borderId="0" xfId="0" applyNumberFormat="1" applyFont="1" applyFill="1" applyBorder="1" applyAlignment="1">
      <alignment horizontal="center" vertical="center"/>
    </xf>
    <xf numFmtId="20" fontId="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15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Border="1"/>
    <xf numFmtId="22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" fontId="0" fillId="0" borderId="0" xfId="0" applyNumberFormat="1" applyFill="1" applyBorder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6" fontId="14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46" fontId="14" fillId="0" borderId="0" xfId="0" applyNumberFormat="1" applyFont="1" applyFill="1" applyBorder="1" applyAlignment="1">
      <alignment horizontal="center" vertical="center"/>
    </xf>
    <xf numFmtId="20" fontId="1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16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/>
    </xf>
    <xf numFmtId="1" fontId="15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 vertical="center"/>
    </xf>
    <xf numFmtId="20" fontId="15" fillId="0" borderId="0" xfId="0" applyNumberFormat="1" applyFont="1" applyFill="1" applyBorder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 vertical="center"/>
    </xf>
    <xf numFmtId="0" fontId="1" fillId="14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vertical="center"/>
    </xf>
    <xf numFmtId="0" fontId="0" fillId="7" borderId="0" xfId="0" applyFill="1" applyBorder="1" applyAlignment="1">
      <alignment horizontal="center" vertical="center"/>
    </xf>
  </cellXfs>
  <cellStyles count="1">
    <cellStyle name="Normal" xfId="0" builtinId="0"/>
  </cellStyles>
  <dxfs count="22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1" formatCode="[h]:mm:ss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dd\-mmm\ 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0" formatCode="General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</dxf>
    <dxf>
      <numFmt numFmtId="0" formatCode="General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numFmt numFmtId="166" formatCode="dd\-mmm\ hh:mm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21" formatCode="dd\-mmm"/>
      <fill>
        <patternFill patternType="none">
          <fgColor indexed="64"/>
          <bgColor auto="1"/>
        </patternFill>
      </fill>
    </dxf>
    <dxf>
      <numFmt numFmtId="21" formatCode="dd\-mmm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[Sabana 2019.xlsx]DiaSemana!TablaDinámica1</c:name>
    <c:fmtId val="0"/>
  </c:pivotSource>
  <c:chart>
    <c:autoTitleDeleted val="0"/>
    <c:pivotFmts>
      <c:pivotFmt>
        <c:idx val="0"/>
      </c:pivotFmt>
      <c:pivotFmt>
        <c:idx val="1"/>
        <c:spPr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6927575833842687E-2"/>
          <c:y val="5.0925925925925923E-2"/>
          <c:w val="0.9134823044379714"/>
          <c:h val="0.75010279965004378"/>
        </c:manualLayout>
      </c:layout>
      <c:lineChart>
        <c:grouping val="standard"/>
        <c:varyColors val="0"/>
        <c:ser>
          <c:idx val="0"/>
          <c:order val="0"/>
          <c:tx>
            <c:strRef>
              <c:f>DiaSemana!$B$3</c:f>
              <c:strCache>
                <c:ptCount val="1"/>
                <c:pt idx="0">
                  <c:v>#Incendios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DiaSemana!$A$4:$A$11</c:f>
              <c:strCache>
                <c:ptCount val="7"/>
                <c:pt idx="0">
                  <c:v>domingo</c:v>
                </c:pt>
                <c:pt idx="1">
                  <c:v>lunes</c:v>
                </c:pt>
                <c:pt idx="2">
                  <c:v>martes</c:v>
                </c:pt>
                <c:pt idx="3">
                  <c:v>miércoles</c:v>
                </c:pt>
                <c:pt idx="4">
                  <c:v>jueves</c:v>
                </c:pt>
                <c:pt idx="5">
                  <c:v>viernes</c:v>
                </c:pt>
                <c:pt idx="6">
                  <c:v>sábado</c:v>
                </c:pt>
              </c:strCache>
            </c:strRef>
          </c:cat>
          <c:val>
            <c:numRef>
              <c:f>DiaSemana!$B$4:$B$11</c:f>
              <c:numCache>
                <c:formatCode>General</c:formatCode>
                <c:ptCount val="7"/>
                <c:pt idx="0">
                  <c:v>22</c:v>
                </c:pt>
                <c:pt idx="1">
                  <c:v>20</c:v>
                </c:pt>
                <c:pt idx="2">
                  <c:v>25</c:v>
                </c:pt>
                <c:pt idx="3">
                  <c:v>29</c:v>
                </c:pt>
                <c:pt idx="4">
                  <c:v>20</c:v>
                </c:pt>
                <c:pt idx="5">
                  <c:v>18</c:v>
                </c:pt>
                <c:pt idx="6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AC-4436-A8C6-115DDDF9B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52680"/>
        <c:axId val="394454640"/>
      </c:lineChart>
      <c:lineChart>
        <c:grouping val="standard"/>
        <c:varyColors val="0"/>
        <c:ser>
          <c:idx val="1"/>
          <c:order val="1"/>
          <c:tx>
            <c:strRef>
              <c:f>DiaSemana!$C$3</c:f>
              <c:strCache>
                <c:ptCount val="1"/>
                <c:pt idx="0">
                  <c:v>Superficie Afectada (HA).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DiaSemana!$A$4:$A$11</c:f>
              <c:strCache>
                <c:ptCount val="7"/>
                <c:pt idx="0">
                  <c:v>domingo</c:v>
                </c:pt>
                <c:pt idx="1">
                  <c:v>lunes</c:v>
                </c:pt>
                <c:pt idx="2">
                  <c:v>martes</c:v>
                </c:pt>
                <c:pt idx="3">
                  <c:v>miércoles</c:v>
                </c:pt>
                <c:pt idx="4">
                  <c:v>jueves</c:v>
                </c:pt>
                <c:pt idx="5">
                  <c:v>viernes</c:v>
                </c:pt>
                <c:pt idx="6">
                  <c:v>sábado</c:v>
                </c:pt>
              </c:strCache>
            </c:strRef>
          </c:cat>
          <c:val>
            <c:numRef>
              <c:f>DiaSemana!$C$4:$C$11</c:f>
              <c:numCache>
                <c:formatCode>General</c:formatCode>
                <c:ptCount val="7"/>
                <c:pt idx="0">
                  <c:v>219.72</c:v>
                </c:pt>
                <c:pt idx="1">
                  <c:v>165.24</c:v>
                </c:pt>
                <c:pt idx="2">
                  <c:v>621.77</c:v>
                </c:pt>
                <c:pt idx="3">
                  <c:v>364.01</c:v>
                </c:pt>
                <c:pt idx="4">
                  <c:v>837.83999999999992</c:v>
                </c:pt>
                <c:pt idx="5">
                  <c:v>817.42</c:v>
                </c:pt>
                <c:pt idx="6">
                  <c:v>240.17000000000007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AC-4436-A8C6-115DDDF9B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52288"/>
        <c:axId val="394451504"/>
      </c:lineChart>
      <c:catAx>
        <c:axId val="39445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454640"/>
        <c:crosses val="autoZero"/>
        <c:auto val="1"/>
        <c:lblAlgn val="ctr"/>
        <c:lblOffset val="100"/>
        <c:noMultiLvlLbl val="0"/>
      </c:catAx>
      <c:valAx>
        <c:axId val="39445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452680"/>
        <c:crosses val="autoZero"/>
        <c:crossBetween val="between"/>
      </c:valAx>
      <c:valAx>
        <c:axId val="3944515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452288"/>
        <c:crosses val="max"/>
        <c:crossBetween val="between"/>
      </c:valAx>
      <c:catAx>
        <c:axId val="394452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4451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895085032179277"/>
          <c:y val="0.88794865959674163"/>
          <c:w val="0.46631551193087262"/>
          <c:h val="0.10857949114742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[Sabana 2019.xlsx]Mes!TablaDinámica1</c:name>
    <c:fmtId val="1"/>
  </c:pivotSource>
  <c:chart>
    <c:autoTitleDeleted val="0"/>
    <c:pivotFmts>
      <c:pivotFmt>
        <c:idx val="0"/>
      </c:pivotFmt>
      <c:pivotFmt>
        <c:idx val="1"/>
        <c:spPr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6927575833842687E-2"/>
          <c:y val="5.0925925925925923E-2"/>
          <c:w val="0.9134823044379714"/>
          <c:h val="0.75010279965004378"/>
        </c:manualLayout>
      </c:layout>
      <c:lineChart>
        <c:grouping val="standard"/>
        <c:varyColors val="0"/>
        <c:ser>
          <c:idx val="0"/>
          <c:order val="0"/>
          <c:tx>
            <c:strRef>
              <c:f>Mes!$B$3</c:f>
              <c:strCache>
                <c:ptCount val="1"/>
                <c:pt idx="0">
                  <c:v>#Incendios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Mes!$A$4:$A$9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Mes!$B$4:$B$9</c:f>
              <c:numCache>
                <c:formatCode>General</c:formatCode>
                <c:ptCount val="5"/>
                <c:pt idx="0">
                  <c:v>7</c:v>
                </c:pt>
                <c:pt idx="1">
                  <c:v>39</c:v>
                </c:pt>
                <c:pt idx="2">
                  <c:v>51</c:v>
                </c:pt>
                <c:pt idx="3">
                  <c:v>35</c:v>
                </c:pt>
                <c:pt idx="4">
                  <c:v>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D0-4CDD-A046-1C640174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53072"/>
        <c:axId val="394453464"/>
      </c:lineChart>
      <c:lineChart>
        <c:grouping val="standard"/>
        <c:varyColors val="0"/>
        <c:ser>
          <c:idx val="1"/>
          <c:order val="1"/>
          <c:tx>
            <c:strRef>
              <c:f>Mes!$C$3</c:f>
              <c:strCache>
                <c:ptCount val="1"/>
                <c:pt idx="0">
                  <c:v>Superficie Afectada (HA).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Mes!$A$4:$A$9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Mes!$C$4:$C$9</c:f>
              <c:numCache>
                <c:formatCode>General</c:formatCode>
                <c:ptCount val="5"/>
                <c:pt idx="0">
                  <c:v>82.92</c:v>
                </c:pt>
                <c:pt idx="1">
                  <c:v>251.52000000000007</c:v>
                </c:pt>
                <c:pt idx="2">
                  <c:v>500.50999999999993</c:v>
                </c:pt>
                <c:pt idx="3">
                  <c:v>1187.81</c:v>
                </c:pt>
                <c:pt idx="4">
                  <c:v>1243.4099999999999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D0-4CDD-A046-1C640174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97016"/>
        <c:axId val="394454248"/>
      </c:lineChart>
      <c:catAx>
        <c:axId val="39445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453464"/>
        <c:crosses val="autoZero"/>
        <c:auto val="1"/>
        <c:lblAlgn val="ctr"/>
        <c:lblOffset val="100"/>
        <c:noMultiLvlLbl val="0"/>
      </c:catAx>
      <c:valAx>
        <c:axId val="39445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4453072"/>
        <c:crosses val="autoZero"/>
        <c:crossBetween val="between"/>
      </c:valAx>
      <c:valAx>
        <c:axId val="3944542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6097016"/>
        <c:crosses val="max"/>
        <c:crossBetween val="between"/>
      </c:valAx>
      <c:catAx>
        <c:axId val="396097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445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895085032179277"/>
          <c:y val="0.88794865959674163"/>
          <c:w val="0.46631551193087262"/>
          <c:h val="0.10857949114742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[Sabana 2019.xlsx]SemanaAño!TablaDinámica1</c:name>
    <c:fmtId val="2"/>
  </c:pivotSource>
  <c:chart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2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3"/>
        <c:spPr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6927575833842687E-2"/>
          <c:y val="5.0925925925925923E-2"/>
          <c:w val="0.9134823044379714"/>
          <c:h val="0.75010279965004378"/>
        </c:manualLayout>
      </c:layout>
      <c:lineChart>
        <c:grouping val="standard"/>
        <c:varyColors val="0"/>
        <c:ser>
          <c:idx val="0"/>
          <c:order val="0"/>
          <c:tx>
            <c:strRef>
              <c:f>SemanaAño!$B$3</c:f>
              <c:strCache>
                <c:ptCount val="1"/>
                <c:pt idx="0">
                  <c:v>#Incendios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SemanaAño!$A$4:$A$23</c:f>
              <c:strCache>
                <c:ptCount val="19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</c:v>
                </c:pt>
                <c:pt idx="18">
                  <c:v>(en blanco)</c:v>
                </c:pt>
              </c:strCache>
            </c:strRef>
          </c:cat>
          <c:val>
            <c:numRef>
              <c:f>SemanaAño!$B$4:$B$23</c:f>
              <c:numCache>
                <c:formatCode>General</c:formatCode>
                <c:ptCount val="19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5</c:v>
                </c:pt>
                <c:pt idx="4">
                  <c:v>9</c:v>
                </c:pt>
                <c:pt idx="5">
                  <c:v>16</c:v>
                </c:pt>
                <c:pt idx="6">
                  <c:v>8</c:v>
                </c:pt>
                <c:pt idx="7">
                  <c:v>16</c:v>
                </c:pt>
                <c:pt idx="8">
                  <c:v>6</c:v>
                </c:pt>
                <c:pt idx="9">
                  <c:v>17</c:v>
                </c:pt>
                <c:pt idx="10">
                  <c:v>12</c:v>
                </c:pt>
                <c:pt idx="11">
                  <c:v>3</c:v>
                </c:pt>
                <c:pt idx="12">
                  <c:v>12</c:v>
                </c:pt>
                <c:pt idx="13">
                  <c:v>7</c:v>
                </c:pt>
                <c:pt idx="14">
                  <c:v>13</c:v>
                </c:pt>
                <c:pt idx="15">
                  <c:v>9</c:v>
                </c:pt>
                <c:pt idx="16">
                  <c:v>9</c:v>
                </c:pt>
                <c:pt idx="17">
                  <c:v>1</c:v>
                </c:pt>
                <c:pt idx="1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DC-4C84-9CF7-7F9EDE642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98584"/>
        <c:axId val="396100936"/>
      </c:lineChart>
      <c:lineChart>
        <c:grouping val="standard"/>
        <c:varyColors val="0"/>
        <c:ser>
          <c:idx val="1"/>
          <c:order val="1"/>
          <c:tx>
            <c:strRef>
              <c:f>SemanaAño!$C$3</c:f>
              <c:strCache>
                <c:ptCount val="1"/>
                <c:pt idx="0">
                  <c:v>Superficie Afectada (HA).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SemanaAño!$A$4:$A$23</c:f>
              <c:strCache>
                <c:ptCount val="19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</c:v>
                </c:pt>
                <c:pt idx="18">
                  <c:v>(en blanco)</c:v>
                </c:pt>
              </c:strCache>
            </c:strRef>
          </c:cat>
          <c:val>
            <c:numRef>
              <c:f>SemanaAño!$C$4:$C$23</c:f>
              <c:numCache>
                <c:formatCode>General</c:formatCode>
                <c:ptCount val="19"/>
                <c:pt idx="0">
                  <c:v>74.37</c:v>
                </c:pt>
                <c:pt idx="1">
                  <c:v>7.6499999999999995</c:v>
                </c:pt>
                <c:pt idx="2">
                  <c:v>81.410000000000011</c:v>
                </c:pt>
                <c:pt idx="3">
                  <c:v>13.55</c:v>
                </c:pt>
                <c:pt idx="4">
                  <c:v>51.57</c:v>
                </c:pt>
                <c:pt idx="5">
                  <c:v>104.99000000000001</c:v>
                </c:pt>
                <c:pt idx="6">
                  <c:v>25.659999999999993</c:v>
                </c:pt>
                <c:pt idx="7">
                  <c:v>126.32999999999998</c:v>
                </c:pt>
                <c:pt idx="8">
                  <c:v>14.259999999999998</c:v>
                </c:pt>
                <c:pt idx="9">
                  <c:v>315.62</c:v>
                </c:pt>
                <c:pt idx="10">
                  <c:v>191.07</c:v>
                </c:pt>
                <c:pt idx="11">
                  <c:v>56.11</c:v>
                </c:pt>
                <c:pt idx="12">
                  <c:v>848.9799999999999</c:v>
                </c:pt>
                <c:pt idx="13">
                  <c:v>6.91</c:v>
                </c:pt>
                <c:pt idx="14">
                  <c:v>399.49000000000007</c:v>
                </c:pt>
                <c:pt idx="15">
                  <c:v>647.76</c:v>
                </c:pt>
                <c:pt idx="16">
                  <c:v>84.14</c:v>
                </c:pt>
                <c:pt idx="17">
                  <c:v>0.9</c:v>
                </c:pt>
                <c:pt idx="18">
                  <c:v>215.4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DC-4C84-9CF7-7F9EDE642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102112"/>
        <c:axId val="396096624"/>
      </c:lineChart>
      <c:catAx>
        <c:axId val="39609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6100936"/>
        <c:crosses val="autoZero"/>
        <c:auto val="1"/>
        <c:lblAlgn val="ctr"/>
        <c:lblOffset val="100"/>
        <c:noMultiLvlLbl val="0"/>
      </c:catAx>
      <c:valAx>
        <c:axId val="39610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6098584"/>
        <c:crosses val="autoZero"/>
        <c:crossBetween val="between"/>
      </c:valAx>
      <c:valAx>
        <c:axId val="3960966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6102112"/>
        <c:crosses val="max"/>
        <c:crossBetween val="between"/>
      </c:valAx>
      <c:catAx>
        <c:axId val="39610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609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895085032179277"/>
          <c:y val="0.88794865959674163"/>
          <c:w val="0.46631551193087262"/>
          <c:h val="0.10857949114742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[Sabana 2019.xlsx]Municipio!TablaDinámica1</c:name>
    <c:fmtId val="3"/>
  </c:pivotSource>
  <c:chart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2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4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5"/>
        <c:spPr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6927575833842687E-2"/>
          <c:y val="5.0925925925925923E-2"/>
          <c:w val="0.9134823044379714"/>
          <c:h val="0.75010279965004378"/>
        </c:manualLayout>
      </c:layout>
      <c:lineChart>
        <c:grouping val="standard"/>
        <c:varyColors val="0"/>
        <c:ser>
          <c:idx val="0"/>
          <c:order val="0"/>
          <c:tx>
            <c:strRef>
              <c:f>Municipio!$B$3</c:f>
              <c:strCache>
                <c:ptCount val="1"/>
                <c:pt idx="0">
                  <c:v>#Incendios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Municipio!$A$4:$A$19</c:f>
              <c:strCache>
                <c:ptCount val="15"/>
                <c:pt idx="0">
                  <c:v>Temixco</c:v>
                </c:pt>
                <c:pt idx="1">
                  <c:v>Tlalnepantla</c:v>
                </c:pt>
                <c:pt idx="2">
                  <c:v>Yautepec</c:v>
                </c:pt>
                <c:pt idx="3">
                  <c:v>(en blanco)</c:v>
                </c:pt>
                <c:pt idx="4">
                  <c:v>Tlayacapan</c:v>
                </c:pt>
                <c:pt idx="5">
                  <c:v>Huitzilac </c:v>
                </c:pt>
                <c:pt idx="6">
                  <c:v>Tepoztlán </c:v>
                </c:pt>
                <c:pt idx="7">
                  <c:v>Zacatepec </c:v>
                </c:pt>
                <c:pt idx="8">
                  <c:v>Cuernavaca </c:v>
                </c:pt>
                <c:pt idx="9">
                  <c:v>Puente de Ixtla </c:v>
                </c:pt>
                <c:pt idx="10">
                  <c:v>Miacatlan </c:v>
                </c:pt>
                <c:pt idx="11">
                  <c:v>Tlaltizapan</c:v>
                </c:pt>
                <c:pt idx="12">
                  <c:v>Jiutepec </c:v>
                </c:pt>
                <c:pt idx="13">
                  <c:v>Yecapixtla</c:v>
                </c:pt>
                <c:pt idx="14">
                  <c:v>Tetela del volcan</c:v>
                </c:pt>
              </c:strCache>
            </c:strRef>
          </c:cat>
          <c:val>
            <c:numRef>
              <c:f>Municipio!$B$4:$B$19</c:f>
              <c:numCache>
                <c:formatCode>General</c:formatCode>
                <c:ptCount val="15"/>
                <c:pt idx="0">
                  <c:v>1</c:v>
                </c:pt>
                <c:pt idx="1">
                  <c:v>17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51</c:v>
                </c:pt>
                <c:pt idx="6">
                  <c:v>56</c:v>
                </c:pt>
                <c:pt idx="7">
                  <c:v>2</c:v>
                </c:pt>
                <c:pt idx="8">
                  <c:v>14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A3-4D35-99B2-64CCE84F6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99368"/>
        <c:axId val="396099760"/>
      </c:lineChart>
      <c:lineChart>
        <c:grouping val="standard"/>
        <c:varyColors val="0"/>
        <c:ser>
          <c:idx val="1"/>
          <c:order val="1"/>
          <c:tx>
            <c:strRef>
              <c:f>Municipio!$C$3</c:f>
              <c:strCache>
                <c:ptCount val="1"/>
                <c:pt idx="0">
                  <c:v>Superficie Afectada (HA).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Municipio!$A$4:$A$19</c:f>
              <c:strCache>
                <c:ptCount val="15"/>
                <c:pt idx="0">
                  <c:v>Temixco</c:v>
                </c:pt>
                <c:pt idx="1">
                  <c:v>Tlalnepantla</c:v>
                </c:pt>
                <c:pt idx="2">
                  <c:v>Yautepec</c:v>
                </c:pt>
                <c:pt idx="3">
                  <c:v>(en blanco)</c:v>
                </c:pt>
                <c:pt idx="4">
                  <c:v>Tlayacapan</c:v>
                </c:pt>
                <c:pt idx="5">
                  <c:v>Huitzilac </c:v>
                </c:pt>
                <c:pt idx="6">
                  <c:v>Tepoztlán </c:v>
                </c:pt>
                <c:pt idx="7">
                  <c:v>Zacatepec </c:v>
                </c:pt>
                <c:pt idx="8">
                  <c:v>Cuernavaca </c:v>
                </c:pt>
                <c:pt idx="9">
                  <c:v>Puente de Ixtla </c:v>
                </c:pt>
                <c:pt idx="10">
                  <c:v>Miacatlan </c:v>
                </c:pt>
                <c:pt idx="11">
                  <c:v>Tlaltizapan</c:v>
                </c:pt>
                <c:pt idx="12">
                  <c:v>Jiutepec </c:v>
                </c:pt>
                <c:pt idx="13">
                  <c:v>Yecapixtla</c:v>
                </c:pt>
                <c:pt idx="14">
                  <c:v>Tetela del volcan</c:v>
                </c:pt>
              </c:strCache>
            </c:strRef>
          </c:cat>
          <c:val>
            <c:numRef>
              <c:f>Municipio!$C$4:$C$19</c:f>
              <c:numCache>
                <c:formatCode>General</c:formatCode>
                <c:ptCount val="15"/>
                <c:pt idx="0">
                  <c:v>57</c:v>
                </c:pt>
                <c:pt idx="1">
                  <c:v>1900.38</c:v>
                </c:pt>
                <c:pt idx="2">
                  <c:v>18.529999999999998</c:v>
                </c:pt>
                <c:pt idx="3">
                  <c:v>0</c:v>
                </c:pt>
                <c:pt idx="4">
                  <c:v>99.51</c:v>
                </c:pt>
                <c:pt idx="5">
                  <c:v>382.09999999999991</c:v>
                </c:pt>
                <c:pt idx="6">
                  <c:v>555.18999999999994</c:v>
                </c:pt>
                <c:pt idx="7">
                  <c:v>34.369999999999997</c:v>
                </c:pt>
                <c:pt idx="8">
                  <c:v>186.28</c:v>
                </c:pt>
                <c:pt idx="9">
                  <c:v>11.35</c:v>
                </c:pt>
                <c:pt idx="10">
                  <c:v>5.87</c:v>
                </c:pt>
                <c:pt idx="11">
                  <c:v>6.34</c:v>
                </c:pt>
                <c:pt idx="12">
                  <c:v>5.24</c:v>
                </c:pt>
                <c:pt idx="13">
                  <c:v>2.21</c:v>
                </c:pt>
                <c:pt idx="14">
                  <c:v>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A3-4D35-99B2-64CCE84F6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101328"/>
        <c:axId val="396100152"/>
      </c:lineChart>
      <c:catAx>
        <c:axId val="39609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6099760"/>
        <c:crosses val="autoZero"/>
        <c:auto val="1"/>
        <c:lblAlgn val="ctr"/>
        <c:lblOffset val="100"/>
        <c:noMultiLvlLbl val="0"/>
      </c:catAx>
      <c:valAx>
        <c:axId val="39609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6099368"/>
        <c:crosses val="autoZero"/>
        <c:crossBetween val="between"/>
      </c:valAx>
      <c:valAx>
        <c:axId val="3961001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6101328"/>
        <c:crosses val="max"/>
        <c:crossBetween val="between"/>
      </c:valAx>
      <c:catAx>
        <c:axId val="396101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6100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895085032179277"/>
          <c:y val="0.88794865959674163"/>
          <c:w val="0.46631551193087262"/>
          <c:h val="0.10857949114742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[Sabana 2019.xlsx]Predio!TablaDinámica1</c:name>
    <c:fmtId val="4"/>
  </c:pivotSource>
  <c:chart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2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4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6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7"/>
        <c:spPr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6927575833842687E-2"/>
          <c:y val="5.0925925925925923E-2"/>
          <c:w val="0.9134823044379714"/>
          <c:h val="0.71927419477189614"/>
        </c:manualLayout>
      </c:layout>
      <c:lineChart>
        <c:grouping val="standard"/>
        <c:varyColors val="0"/>
        <c:ser>
          <c:idx val="0"/>
          <c:order val="0"/>
          <c:tx>
            <c:strRef>
              <c:f>Predio!$A$3</c:f>
              <c:strCache>
                <c:ptCount val="1"/>
                <c:pt idx="0">
                  <c:v>#Incendios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Predio!$A$4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Predio!$A$4</c:f>
              <c:numCache>
                <c:formatCode>General</c:formatCode>
                <c:ptCount val="1"/>
                <c:pt idx="0">
                  <c:v>159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B9-4D6F-AD00-738853E9A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97800"/>
        <c:axId val="396102504"/>
      </c:lineChart>
      <c:lineChart>
        <c:grouping val="standard"/>
        <c:varyColors val="0"/>
        <c:ser>
          <c:idx val="1"/>
          <c:order val="1"/>
          <c:tx>
            <c:strRef>
              <c:f>Predio!$B$3</c:f>
              <c:strCache>
                <c:ptCount val="1"/>
                <c:pt idx="0">
                  <c:v>Superficie Afectada (HA).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Predio!$A$4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Predio!$B$4</c:f>
              <c:numCache>
                <c:formatCode>General</c:formatCode>
                <c:ptCount val="1"/>
                <c:pt idx="0">
                  <c:v>3266.17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B9-4D6F-AD00-738853E9A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102896"/>
        <c:axId val="396101720"/>
      </c:lineChart>
      <c:catAx>
        <c:axId val="39609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6102504"/>
        <c:crosses val="autoZero"/>
        <c:auto val="1"/>
        <c:lblAlgn val="ctr"/>
        <c:lblOffset val="100"/>
        <c:noMultiLvlLbl val="0"/>
      </c:catAx>
      <c:valAx>
        <c:axId val="39610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6097800"/>
        <c:crosses val="autoZero"/>
        <c:crossBetween val="between"/>
      </c:valAx>
      <c:valAx>
        <c:axId val="3961017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6102896"/>
        <c:crosses val="max"/>
        <c:crossBetween val="between"/>
      </c:valAx>
      <c:catAx>
        <c:axId val="396102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6101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895085032179277"/>
          <c:y val="0.88794865959674163"/>
          <c:w val="0.46631551193087262"/>
          <c:h val="0.10857949114742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[Sabana 2019.xlsx]Causas!TablaDinámica1</c:name>
    <c:fmtId val="5"/>
  </c:pivotSource>
  <c:chart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2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4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6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7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8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9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10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</c:pivotFmt>
      <c:pivotFmt>
        <c:idx val="11"/>
        <c:spPr>
          <a:ln w="34925" cap="rnd">
            <a:solidFill>
              <a:schemeClr val="accent2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ln w="34925" cap="rnd">
            <a:solidFill>
              <a:schemeClr val="accent4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6927575833842687E-2"/>
          <c:y val="5.0925925925925923E-2"/>
          <c:w val="0.9134823044379714"/>
          <c:h val="0.71927419477189614"/>
        </c:manualLayout>
      </c:layout>
      <c:lineChart>
        <c:grouping val="standard"/>
        <c:varyColors val="0"/>
        <c:ser>
          <c:idx val="0"/>
          <c:order val="0"/>
          <c:tx>
            <c:strRef>
              <c:f>Causas!$B$3</c:f>
              <c:strCache>
                <c:ptCount val="1"/>
                <c:pt idx="0">
                  <c:v>#Incendios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Causas!$A$4:$A$28</c:f>
              <c:multiLvlStrCache>
                <c:ptCount val="14"/>
                <c:lvl>
                  <c:pt idx="0">
                    <c:v>Cambio de uso de suelo</c:v>
                  </c:pt>
                  <c:pt idx="1">
                    <c:v>Vandalismo</c:v>
                  </c:pt>
                  <c:pt idx="2">
                    <c:v>(en blanco)</c:v>
                  </c:pt>
                  <c:pt idx="3">
                    <c:v>Fogatas de Paseantes</c:v>
                  </c:pt>
                  <c:pt idx="4">
                    <c:v>No Aplica </c:v>
                  </c:pt>
                  <c:pt idx="5">
                    <c:v>Quema para Pastoreo </c:v>
                  </c:pt>
                  <c:pt idx="6">
                    <c:v>Actividades Apicolas</c:v>
                  </c:pt>
                  <c:pt idx="7">
                    <c:v>Quema Para Desmontar</c:v>
                  </c:pt>
                  <c:pt idx="8">
                    <c:v>Quema para Preparación de Siembra</c:v>
                  </c:pt>
                  <c:pt idx="9">
                    <c:v>Quema de Cañaveral </c:v>
                  </c:pt>
                  <c:pt idx="10">
                    <c:v>Hornos de Carbón </c:v>
                  </c:pt>
                  <c:pt idx="11">
                    <c:v>No Aplica </c:v>
                  </c:pt>
                  <c:pt idx="12">
                    <c:v>No Aplica </c:v>
                  </c:pt>
                  <c:pt idx="13">
                    <c:v>No Aplica </c:v>
                  </c:pt>
                </c:lvl>
                <c:lvl>
                  <c:pt idx="0">
                    <c:v>Intencional</c:v>
                  </c:pt>
                  <c:pt idx="2">
                    <c:v>(en blanco)</c:v>
                  </c:pt>
                  <c:pt idx="3">
                    <c:v>Fogatas</c:v>
                  </c:pt>
                  <c:pt idx="4">
                    <c:v>Quema de Basurero </c:v>
                  </c:pt>
                  <c:pt idx="5">
                    <c:v>Actividades Pecuarias </c:v>
                  </c:pt>
                  <c:pt idx="7">
                    <c:v>Actividades Agricolas</c:v>
                  </c:pt>
                  <c:pt idx="10">
                    <c:v>Otras Actividades Productivas </c:v>
                  </c:pt>
                  <c:pt idx="11">
                    <c:v>Desconocidas </c:v>
                  </c:pt>
                  <c:pt idx="12">
                    <c:v>Fumadores </c:v>
                  </c:pt>
                  <c:pt idx="13">
                    <c:v>Cazadores </c:v>
                  </c:pt>
                </c:lvl>
              </c:multiLvlStrCache>
            </c:multiLvlStrRef>
          </c:cat>
          <c:val>
            <c:numRef>
              <c:f>Causas!$B$4:$B$28</c:f>
              <c:numCache>
                <c:formatCode>General</c:formatCode>
                <c:ptCount val="14"/>
                <c:pt idx="0">
                  <c:v>27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39</c:v>
                </c:pt>
                <c:pt idx="6">
                  <c:v>1</c:v>
                </c:pt>
                <c:pt idx="7">
                  <c:v>19</c:v>
                </c:pt>
                <c:pt idx="8">
                  <c:v>29</c:v>
                </c:pt>
                <c:pt idx="9">
                  <c:v>1</c:v>
                </c:pt>
                <c:pt idx="10">
                  <c:v>2</c:v>
                </c:pt>
                <c:pt idx="11">
                  <c:v>22</c:v>
                </c:pt>
                <c:pt idx="12">
                  <c:v>7</c:v>
                </c:pt>
                <c:pt idx="13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07-494D-8DD0-0CB7A765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95840"/>
        <c:axId val="398475256"/>
      </c:lineChart>
      <c:lineChart>
        <c:grouping val="standard"/>
        <c:varyColors val="0"/>
        <c:ser>
          <c:idx val="1"/>
          <c:order val="1"/>
          <c:tx>
            <c:strRef>
              <c:f>Causas!$C$3</c:f>
              <c:strCache>
                <c:ptCount val="1"/>
                <c:pt idx="0">
                  <c:v>Superficie Afectada (HA).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Causas!$A$4:$A$28</c:f>
              <c:multiLvlStrCache>
                <c:ptCount val="14"/>
                <c:lvl>
                  <c:pt idx="0">
                    <c:v>Cambio de uso de suelo</c:v>
                  </c:pt>
                  <c:pt idx="1">
                    <c:v>Vandalismo</c:v>
                  </c:pt>
                  <c:pt idx="2">
                    <c:v>(en blanco)</c:v>
                  </c:pt>
                  <c:pt idx="3">
                    <c:v>Fogatas de Paseantes</c:v>
                  </c:pt>
                  <c:pt idx="4">
                    <c:v>No Aplica </c:v>
                  </c:pt>
                  <c:pt idx="5">
                    <c:v>Quema para Pastoreo </c:v>
                  </c:pt>
                  <c:pt idx="6">
                    <c:v>Actividades Apicolas</c:v>
                  </c:pt>
                  <c:pt idx="7">
                    <c:v>Quema Para Desmontar</c:v>
                  </c:pt>
                  <c:pt idx="8">
                    <c:v>Quema para Preparación de Siembra</c:v>
                  </c:pt>
                  <c:pt idx="9">
                    <c:v>Quema de Cañaveral </c:v>
                  </c:pt>
                  <c:pt idx="10">
                    <c:v>Hornos de Carbón </c:v>
                  </c:pt>
                  <c:pt idx="11">
                    <c:v>No Aplica </c:v>
                  </c:pt>
                  <c:pt idx="12">
                    <c:v>No Aplica </c:v>
                  </c:pt>
                  <c:pt idx="13">
                    <c:v>No Aplica </c:v>
                  </c:pt>
                </c:lvl>
                <c:lvl>
                  <c:pt idx="0">
                    <c:v>Intencional</c:v>
                  </c:pt>
                  <c:pt idx="2">
                    <c:v>(en blanco)</c:v>
                  </c:pt>
                  <c:pt idx="3">
                    <c:v>Fogatas</c:v>
                  </c:pt>
                  <c:pt idx="4">
                    <c:v>Quema de Basurero </c:v>
                  </c:pt>
                  <c:pt idx="5">
                    <c:v>Actividades Pecuarias </c:v>
                  </c:pt>
                  <c:pt idx="7">
                    <c:v>Actividades Agricolas</c:v>
                  </c:pt>
                  <c:pt idx="10">
                    <c:v>Otras Actividades Productivas </c:v>
                  </c:pt>
                  <c:pt idx="11">
                    <c:v>Desconocidas </c:v>
                  </c:pt>
                  <c:pt idx="12">
                    <c:v>Fumadores </c:v>
                  </c:pt>
                  <c:pt idx="13">
                    <c:v>Cazadores </c:v>
                  </c:pt>
                </c:lvl>
              </c:multiLvlStrCache>
            </c:multiLvlStrRef>
          </c:cat>
          <c:val>
            <c:numRef>
              <c:f>Causas!$C$4:$C$28</c:f>
              <c:numCache>
                <c:formatCode>General</c:formatCode>
                <c:ptCount val="14"/>
                <c:pt idx="0">
                  <c:v>66.699999999999989</c:v>
                </c:pt>
                <c:pt idx="1">
                  <c:v>70.78</c:v>
                </c:pt>
                <c:pt idx="2">
                  <c:v>0</c:v>
                </c:pt>
                <c:pt idx="3">
                  <c:v>1.5</c:v>
                </c:pt>
                <c:pt idx="4">
                  <c:v>5.64</c:v>
                </c:pt>
                <c:pt idx="5">
                  <c:v>1349.9599999999998</c:v>
                </c:pt>
                <c:pt idx="6">
                  <c:v>13.870000000000001</c:v>
                </c:pt>
                <c:pt idx="7">
                  <c:v>75.75</c:v>
                </c:pt>
                <c:pt idx="8">
                  <c:v>831.26</c:v>
                </c:pt>
                <c:pt idx="9">
                  <c:v>74.37</c:v>
                </c:pt>
                <c:pt idx="10">
                  <c:v>2.1900000000000004</c:v>
                </c:pt>
                <c:pt idx="11">
                  <c:v>750.78999999999985</c:v>
                </c:pt>
                <c:pt idx="12">
                  <c:v>19.139999999999997</c:v>
                </c:pt>
                <c:pt idx="13">
                  <c:v>4.22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07-494D-8DD0-0CB7A765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478392"/>
        <c:axId val="398482312"/>
      </c:lineChart>
      <c:catAx>
        <c:axId val="39609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8475256"/>
        <c:crosses val="autoZero"/>
        <c:auto val="1"/>
        <c:lblAlgn val="ctr"/>
        <c:lblOffset val="100"/>
        <c:noMultiLvlLbl val="0"/>
      </c:catAx>
      <c:valAx>
        <c:axId val="39847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6095840"/>
        <c:crosses val="autoZero"/>
        <c:crossBetween val="between"/>
      </c:valAx>
      <c:valAx>
        <c:axId val="3984823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8478392"/>
        <c:crosses val="max"/>
        <c:crossBetween val="between"/>
      </c:valAx>
      <c:catAx>
        <c:axId val="398478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8482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895085032179277"/>
          <c:y val="0.93203391824368764"/>
          <c:w val="0.46631551193087262"/>
          <c:h val="6.4494225143238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784860</xdr:colOff>
      <xdr:row>1</xdr:row>
      <xdr:rowOff>140970</xdr:rowOff>
    </xdr:from>
    <xdr:to>
      <xdr:col>12</xdr:col>
      <xdr:colOff>327660</xdr:colOff>
      <xdr:row>19</xdr:row>
      <xdr:rowOff>144780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784860</xdr:colOff>
      <xdr:row>1</xdr:row>
      <xdr:rowOff>140970</xdr:rowOff>
    </xdr:from>
    <xdr:to>
      <xdr:col>12</xdr:col>
      <xdr:colOff>327660</xdr:colOff>
      <xdr:row>19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784860</xdr:colOff>
      <xdr:row>1</xdr:row>
      <xdr:rowOff>140970</xdr:rowOff>
    </xdr:from>
    <xdr:to>
      <xdr:col>12</xdr:col>
      <xdr:colOff>327660</xdr:colOff>
      <xdr:row>19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784860</xdr:colOff>
      <xdr:row>1</xdr:row>
      <xdr:rowOff>140970</xdr:rowOff>
    </xdr:from>
    <xdr:to>
      <xdr:col>12</xdr:col>
      <xdr:colOff>327660</xdr:colOff>
      <xdr:row>19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784860</xdr:colOff>
      <xdr:row>1</xdr:row>
      <xdr:rowOff>140970</xdr:rowOff>
    </xdr:from>
    <xdr:to>
      <xdr:col>12</xdr:col>
      <xdr:colOff>327660</xdr:colOff>
      <xdr:row>19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784860</xdr:colOff>
      <xdr:row>1</xdr:row>
      <xdr:rowOff>140970</xdr:rowOff>
    </xdr:from>
    <xdr:to>
      <xdr:col>14</xdr:col>
      <xdr:colOff>30480</xdr:colOff>
      <xdr:row>29</xdr:row>
      <xdr:rowOff>22860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Centro%20Estatal/2016-Temporada/Estadistica/Poligonos/Incendios/Prue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Datos"/>
      <sheetName val="Tipos de Vegetación"/>
      <sheetName val="Vegetación por Estado"/>
      <sheetName val="Datos de Incendio"/>
      <sheetName val="Coordenadas"/>
      <sheetName val="Formato Numérico"/>
      <sheetName val="Formato Numérico 2"/>
    </sheetNames>
    <sheetDataSet>
      <sheetData sheetId="0">
        <row r="1">
          <cell r="K1" t="str">
            <v>Bosque Cultivado</v>
          </cell>
        </row>
        <row r="2">
          <cell r="K2" t="str">
            <v>Bosque de Ayarín</v>
          </cell>
        </row>
        <row r="3">
          <cell r="K3" t="str">
            <v>Bosque de Cedro</v>
          </cell>
        </row>
        <row r="4">
          <cell r="K4" t="str">
            <v>Bosque de Encino</v>
          </cell>
        </row>
        <row r="5">
          <cell r="K5" t="str">
            <v>Bosque de Encino-Pino</v>
          </cell>
        </row>
        <row r="6">
          <cell r="K6" t="str">
            <v>Bosque de Galería</v>
          </cell>
        </row>
        <row r="7">
          <cell r="K7" t="str">
            <v>Bosque de Oyamel</v>
          </cell>
        </row>
        <row r="8">
          <cell r="K8" t="str">
            <v>Bosque de Pino</v>
          </cell>
        </row>
        <row r="9">
          <cell r="K9" t="str">
            <v>Bosque de Pino-Encino</v>
          </cell>
        </row>
        <row r="10">
          <cell r="K10" t="str">
            <v>Bosque de Táscate</v>
          </cell>
        </row>
        <row r="11">
          <cell r="K11" t="str">
            <v>Bosque Inducido</v>
          </cell>
        </row>
        <row r="12">
          <cell r="K12" t="str">
            <v>Bosque Mesófilo</v>
          </cell>
        </row>
        <row r="13">
          <cell r="K13" t="str">
            <v>Chaparral</v>
          </cell>
        </row>
        <row r="14">
          <cell r="K14" t="str">
            <v>Manglar</v>
          </cell>
        </row>
        <row r="15">
          <cell r="K15" t="str">
            <v>Matorral Crasicaule</v>
          </cell>
        </row>
        <row r="16">
          <cell r="K16" t="str">
            <v>Matorral de Coníferas</v>
          </cell>
        </row>
        <row r="17">
          <cell r="K17" t="str">
            <v>Matorral Desértico Micrófilo</v>
          </cell>
        </row>
        <row r="18">
          <cell r="K18" t="str">
            <v>Matorral Desértico Rosetófilo</v>
          </cell>
        </row>
        <row r="19">
          <cell r="K19" t="str">
            <v>Matorral Espinoso Tamaulipeco</v>
          </cell>
        </row>
        <row r="20">
          <cell r="K20" t="str">
            <v>Matorral Rosetófilo Costero</v>
          </cell>
        </row>
        <row r="21">
          <cell r="K21" t="str">
            <v>Matorral Sarcocaule</v>
          </cell>
        </row>
        <row r="22">
          <cell r="K22" t="str">
            <v>Matorral Sarcocrasicaule</v>
          </cell>
        </row>
        <row r="23">
          <cell r="K23" t="str">
            <v>Matorral Sarcocrasicaule de Neblina</v>
          </cell>
        </row>
        <row r="24">
          <cell r="K24" t="str">
            <v>Matorral Submontano</v>
          </cell>
        </row>
        <row r="25">
          <cell r="K25" t="str">
            <v>Matorral Subtropical</v>
          </cell>
        </row>
        <row r="26">
          <cell r="K26" t="str">
            <v>Mezquital (Espinoso)</v>
          </cell>
        </row>
        <row r="27">
          <cell r="K27" t="str">
            <v>Mezquital (Otros Tipos)</v>
          </cell>
        </row>
        <row r="28">
          <cell r="K28" t="str">
            <v>Mezquital (Xerófilo)</v>
          </cell>
        </row>
        <row r="29">
          <cell r="K29" t="str">
            <v>Palmar Inducido</v>
          </cell>
        </row>
        <row r="30">
          <cell r="K30" t="str">
            <v>Palmar Natural</v>
          </cell>
        </row>
        <row r="31">
          <cell r="K31" t="str">
            <v>Pastizal Gypsófilo</v>
          </cell>
        </row>
        <row r="32">
          <cell r="K32" t="str">
            <v>Pastizal Halófilo</v>
          </cell>
        </row>
        <row r="33">
          <cell r="K33" t="str">
            <v>Pastizal Inducido</v>
          </cell>
        </row>
        <row r="34">
          <cell r="K34" t="str">
            <v>Pastizal Natural</v>
          </cell>
        </row>
        <row r="35">
          <cell r="K35" t="str">
            <v>Petén</v>
          </cell>
        </row>
        <row r="36">
          <cell r="K36" t="str">
            <v>Popal</v>
          </cell>
        </row>
        <row r="37">
          <cell r="K37" t="str">
            <v>Pradera de Alta Montaña</v>
          </cell>
        </row>
        <row r="38">
          <cell r="K38" t="str">
            <v>Sabana</v>
          </cell>
        </row>
        <row r="39">
          <cell r="K39" t="str">
            <v>Sabanoide</v>
          </cell>
        </row>
        <row r="40">
          <cell r="K40" t="str">
            <v>Selva alta perennifolia</v>
          </cell>
        </row>
        <row r="41">
          <cell r="K41" t="str">
            <v>Selva alta subperennifolia</v>
          </cell>
        </row>
        <row r="42">
          <cell r="K42" t="str">
            <v>Selva baja caducifolia</v>
          </cell>
        </row>
        <row r="43">
          <cell r="K43" t="str">
            <v>Selva baja espinosa</v>
          </cell>
        </row>
        <row r="44">
          <cell r="K44" t="str">
            <v>Selva baja perennifolia</v>
          </cell>
        </row>
        <row r="45">
          <cell r="K45" t="str">
            <v>Selva baja subcaducifolia</v>
          </cell>
        </row>
        <row r="46">
          <cell r="K46" t="str">
            <v>Selva baja subperennifolia</v>
          </cell>
        </row>
        <row r="47">
          <cell r="K47" t="str">
            <v>Selva de Galería</v>
          </cell>
        </row>
        <row r="48">
          <cell r="K48" t="str">
            <v>Selva mediana caducifolia</v>
          </cell>
        </row>
        <row r="49">
          <cell r="K49" t="str">
            <v>Selva mediana perennifolia</v>
          </cell>
        </row>
        <row r="50">
          <cell r="K50" t="str">
            <v>Selva mediana subcaducifolia</v>
          </cell>
        </row>
        <row r="51">
          <cell r="K51" t="str">
            <v>Selva mediana subperennifolia</v>
          </cell>
        </row>
        <row r="52">
          <cell r="K52" t="str">
            <v>Tular</v>
          </cell>
        </row>
        <row r="53">
          <cell r="K53" t="str">
            <v>Vegetación de Desiertos Arenosos</v>
          </cell>
        </row>
        <row r="54">
          <cell r="K54" t="str">
            <v>Vegetación de Dunas Costeras</v>
          </cell>
        </row>
        <row r="55">
          <cell r="K55" t="str">
            <v>Vegetación de Galería</v>
          </cell>
        </row>
        <row r="56">
          <cell r="K56" t="str">
            <v>Vegetación Gypsófila</v>
          </cell>
        </row>
        <row r="57">
          <cell r="K57" t="str">
            <v>Vegetación Halófila (Hidrófila)</v>
          </cell>
        </row>
        <row r="58">
          <cell r="K58" t="str">
            <v>Vegetación Halófila (Xerófila)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dor" refreshedDate="43607.673172800925" createdVersion="6" refreshedVersion="5" minRefreshableVersion="3" recordCount="159">
  <cacheSource type="worksheet">
    <worksheetSource name="tbSabana2016"/>
  </cacheSource>
  <cacheFields count="118">
    <cacheField name="Clave del Incendio" numFmtId="0">
      <sharedItems/>
    </cacheField>
    <cacheField name="Incendio en el AÑO" numFmtId="0">
      <sharedItems containsString="0" containsBlank="1" containsNumber="1" containsInteger="1" minValue="1" maxValue="159"/>
    </cacheField>
    <cacheField name="Fecha de Inicio" numFmtId="16">
      <sharedItems containsNonDate="0" containsDate="1" containsString="0" containsBlank="1" minDate="2019-01-09T00:00:00" maxDate="2019-05-22T00:00:00"/>
    </cacheField>
    <cacheField name="Fecha de Término" numFmtId="16">
      <sharedItems containsNonDate="0" containsDate="1" containsString="0" containsBlank="1" minDate="2019-01-09T00:00:00" maxDate="2019-05-22T00:00:00"/>
    </cacheField>
    <cacheField name="Categoría del Incendio por Duración (días)" numFmtId="0">
      <sharedItems/>
    </cacheField>
    <cacheField name="# Incendio en el Mes" numFmtId="0">
      <sharedItems containsString="0" containsBlank="1" containsNumber="1" containsInteger="1" minValue="1" maxValue="90"/>
    </cacheField>
    <cacheField name="# Incendio en el Dia" numFmtId="0">
      <sharedItems containsSemiMixedTypes="0" containsString="0" containsNumber="1" containsInteger="1" minValue="1" maxValue="2"/>
    </cacheField>
    <cacheField name="Semana del Año" numFmtId="1">
      <sharedItems containsString="0" containsBlank="1" containsNumber="1" containsInteger="1" minValue="1" maxValue="52" count="30">
        <n v="2"/>
        <n v="5"/>
        <n v="6"/>
        <n v="3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m/>
        <n v="46" u="1"/>
        <n v="50" u="1"/>
        <n v="52" u="1"/>
        <n v="21" u="1"/>
        <n v="22" u="1"/>
        <n v="1" u="1"/>
        <n v="23" u="1"/>
        <n v="25" u="1"/>
        <n v="26" u="1"/>
        <n v="51" u="1"/>
        <n v="4" u="1"/>
      </sharedItems>
    </cacheField>
    <cacheField name="Día de la Semana" numFmtId="0">
      <sharedItems containsBlank="1" count="8">
        <s v="miércoles"/>
        <s v="viernes"/>
        <s v="jueves"/>
        <s v="sábado"/>
        <s v="martes"/>
        <s v="domingo"/>
        <s v="lunes"/>
        <m u="1"/>
      </sharedItems>
    </cacheField>
    <cacheField name="Mes" numFmtId="0">
      <sharedItems containsBlank="1" count="9">
        <s v="enero"/>
        <s v="febrero"/>
        <s v="marzo"/>
        <s v="abril"/>
        <s v="mayo"/>
        <m u="1"/>
        <s v="noviembre" u="1"/>
        <s v="diciembre" u="1"/>
        <s v="junio" u="1"/>
      </sharedItems>
    </cacheField>
    <cacheField name="Entidad Federativa" numFmtId="49">
      <sharedItems containsBlank="1"/>
    </cacheField>
    <cacheField name="Clave de Municipio" numFmtId="0">
      <sharedItems containsString="0" containsBlank="1" containsNumber="1" containsInteger="1" minValue="7" maxValue="31"/>
    </cacheField>
    <cacheField name="Municipio (s)" numFmtId="0">
      <sharedItems containsBlank="1" count="24">
        <s v="Huitzilac "/>
        <s v="Tepoztlán "/>
        <s v="Tlalnepantla"/>
        <s v="Zacatepec "/>
        <s v="Yautepec"/>
        <s v="Cuernavaca "/>
        <s v="Puente de Ixtla "/>
        <s v="Miacatlan "/>
        <s v="Tlaltizapan"/>
        <s v="Jiutepec "/>
        <s v="Temixco"/>
        <s v="Yecapixtla"/>
        <s v="Tetela del volcan"/>
        <s v="Tlayacapan"/>
        <m/>
        <s v="Cuernavaca" u="1"/>
        <s v="Amacuzac " u="1"/>
        <s v="Tlalnepantla " u="1"/>
        <s v="Huitzilac" u="1"/>
        <s v="Tepoztlán" u="1"/>
        <s v="Atlatlahucan " u="1"/>
        <s v="Tetela del Volcan " u="1"/>
        <s v="Tetela del Volcán " u="1"/>
        <s v="Tepoztlan" u="1"/>
      </sharedItems>
    </cacheField>
    <cacheField name="Predio (s)" numFmtId="0">
      <sharedItems containsBlank="1"/>
    </cacheField>
    <cacheField name="Paraje (s)" numFmtId="0">
      <sharedItems containsBlank="1"/>
    </cacheField>
    <cacheField name="Orientación Geográfica" numFmtId="0">
      <sharedItems containsBlank="1"/>
    </cacheField>
    <cacheField name="Lat_x000a_ ( ° )" numFmtId="0">
      <sharedItems containsString="0" containsBlank="1" containsNumber="1" containsInteger="1" minValue="18" maxValue="19"/>
    </cacheField>
    <cacheField name="Lat_x000a_ ( ' )" numFmtId="0">
      <sharedItems containsString="0" containsBlank="1" containsNumber="1" containsInteger="1" minValue="0" maxValue="59"/>
    </cacheField>
    <cacheField name="Lat_x000a_ ( &quot; )" numFmtId="0">
      <sharedItems containsString="0" containsBlank="1" containsNumber="1" minValue="0.2" maxValue="59.82"/>
    </cacheField>
    <cacheField name="Long_x000a_ ( ° )" numFmtId="0">
      <sharedItems containsString="0" containsBlank="1" containsNumber="1" containsInteger="1" minValue="98" maxValue="99"/>
    </cacheField>
    <cacheField name="Long_x000a_ ( ' )" numFmtId="0">
      <sharedItems containsString="0" containsBlank="1" containsNumber="1" containsInteger="1" minValue="0" maxValue="59"/>
    </cacheField>
    <cacheField name="Long_x000a_ ( &quot; )" numFmtId="0">
      <sharedItems containsString="0" containsBlank="1" containsNumber="1" minValue="0.12" maxValue="59.97"/>
    </cacheField>
    <cacheField name="Coordenadas Geográficas" numFmtId="0">
      <sharedItems/>
    </cacheField>
    <cacheField name="a.s.n.m." numFmtId="0">
      <sharedItems containsString="0" containsBlank="1" containsNumber="1" containsInteger="1" minValue="962" maxValue="3461"/>
    </cacheField>
    <cacheField name="Arbolado Adulto (HA)" numFmtId="4">
      <sharedItems containsString="0" containsBlank="1" containsNumber="1" containsInteger="1" minValue="0" maxValue="14"/>
    </cacheField>
    <cacheField name="Renuevo (HA)" numFmtId="4">
      <sharedItems containsString="0" containsBlank="1" containsNumber="1" minValue="0" maxValue="80"/>
    </cacheField>
    <cacheField name="Arbustivo (HA)" numFmtId="4">
      <sharedItems containsString="0" containsBlank="1" containsNumber="1" minValue="0" maxValue="180"/>
    </cacheField>
    <cacheField name="Herbáceo (HA)" numFmtId="0">
      <sharedItems containsString="0" containsBlank="1" containsNumber="1" minValue="0" maxValue="241.93"/>
    </cacheField>
    <cacheField name="Hojarasca (HA)" numFmtId="4">
      <sharedItems containsString="0" containsBlank="1" containsNumber="1" minValue="0" maxValue="96.4"/>
    </cacheField>
    <cacheField name="Suelo Orgánico (HA)" numFmtId="4">
      <sharedItems containsString="0" containsBlank="1" containsNumber="1" minValue="0" maxValue="0.97"/>
    </cacheField>
    <cacheField name="Superficie Afectada (HA)" numFmtId="0">
      <sharedItems containsSemiMixedTypes="0" containsString="0" containsNumber="1" minValue="0" maxValue="482.92999999999995"/>
    </cacheField>
    <cacheField name="Acumulado (HA)" numFmtId="2">
      <sharedItems containsSemiMixedTypes="0" containsString="0" containsNumber="1" minValue="0.9" maxValue="3266.17"/>
    </cacheField>
    <cacheField name="Superficie Promedio por Incendio (HA)" numFmtId="2">
      <sharedItems containsMixedTypes="1" containsNumber="1" minValue="0.9" maxValue="21.09721854304636"/>
    </cacheField>
    <cacheField name="Medio de Detección" numFmtId="0">
      <sharedItems containsBlank="1"/>
    </cacheField>
    <cacheField name="Nombre Medio de Detección" numFmtId="0">
      <sharedItems containsBlank="1"/>
    </cacheField>
    <cacheField name="Causa" numFmtId="0">
      <sharedItems containsBlank="1" count="21">
        <s v="Actividades Pecuarias "/>
        <s v="Desconocidas "/>
        <s v="Intencional"/>
        <s v="Actividades Agricolas"/>
        <s v="Otras Actividades Productivas "/>
        <s v="Fumadores "/>
        <s v="Cazadores "/>
        <s v="Fogatas"/>
        <s v="Quema de Basurero "/>
        <m/>
        <s v="Fogata" u="1"/>
        <s v="Desconosida" u="1"/>
        <s v="Actividades Agropecuarias " u="1"/>
        <s v="Actividades Agropecuarias" u="1"/>
        <s v="Desconocida" u="1"/>
        <s v="Otras actividades Productivas" u="1"/>
        <s v="Cazadores" u="1"/>
        <s v="Quema de Basureros" u="1"/>
        <s v="Fumadores" u="1"/>
        <s v="Otros" u="1"/>
        <s v="Otras Causas" u="1"/>
      </sharedItems>
    </cacheField>
    <cacheField name="Causa Específica" numFmtId="0">
      <sharedItems containsBlank="1" count="36">
        <s v="Quema para Pastoreo "/>
        <s v="No Aplica "/>
        <s v="Cambio de uso de suelo"/>
        <s v="Quema Para Desmontar"/>
        <s v="Quema para Preparación de Siembra"/>
        <s v="Quema de Cañaveral "/>
        <s v="Vandalismo"/>
        <s v="Hornos de Carbón "/>
        <s v="Fogatas de Paseantes"/>
        <m/>
        <s v="Actividades Apicolas"/>
        <s v="Fogatas de Paseantes " u="1"/>
        <s v="Quema para Preparación de Siembra " u="1"/>
        <s v="Ninguna / No aplica" u="1"/>
        <s v="Minería (Extracción de materiales)" u="1"/>
        <s v="Minería (Extraccíon de Materiales)" u="1"/>
        <s v="Quema Preparación de Siembra" u="1"/>
        <s v="Actividades Agropecuarias" u="1"/>
        <s v="Otras" u="1"/>
        <s v="No aplica" u="1"/>
        <s v="Cambio uso de Suelo" u="1"/>
        <s v="Extraccion de Materiales" u="1"/>
        <s v="Quema  para preparacion de siembra" u="1"/>
        <s v="Quema para Siembra " u="1"/>
        <s v="Quema para Pastoreo" u="1"/>
        <s v="Litigios" u="1"/>
        <s v="Desconocidas" u="1"/>
        <s v="Hornos de Carbon " u="1"/>
        <s v="Quema para preparacion de siembra" u="1"/>
        <s v="No/Aplica" u="1"/>
        <s v="Quema para Desmonte" u="1"/>
        <s v="Desconocido" u="1"/>
        <s v="Industria" u="1"/>
        <s v="Fogatas Paseantes" u="1"/>
        <s v="Paseantes" u="1"/>
        <s v="Rencillas" u="1"/>
      </sharedItems>
    </cacheField>
    <cacheField name="Tipo  de Propiedad" numFmtId="0">
      <sharedItems/>
    </cacheField>
    <cacheField name="Actividad Forestal Principal del Predio" numFmtId="0">
      <sharedItems/>
    </cacheField>
    <cacheField name="Inicio de Incendio" numFmtId="166">
      <sharedItems containsDate="1" containsBlank="1" containsMixedTypes="1" minDate="2019-01-09T07:50:00" maxDate="2019-05-21T16:20:00"/>
    </cacheField>
    <cacheField name="Detección" numFmtId="166">
      <sharedItems containsDate="1" containsBlank="1" containsMixedTypes="1" minDate="2019-01-09T08:15:00" maxDate="2019-05-21T16:25:00"/>
    </cacheField>
    <cacheField name="Salida Base" numFmtId="166">
      <sharedItems containsDate="1" containsBlank="1" containsMixedTypes="1" minDate="2019-01-09T08:30:00" maxDate="2019-05-21T16:30:00"/>
    </cacheField>
    <cacheField name="Llegada" numFmtId="166">
      <sharedItems containsDate="1" containsBlank="1" containsMixedTypes="1" minDate="2019-01-09T09:30:00" maxDate="2019-05-21T16:50:00"/>
    </cacheField>
    <cacheField name="Ataque Inicial" numFmtId="166">
      <sharedItems containsDate="1" containsBlank="1" containsMixedTypes="1" minDate="2019-01-09T09:35:00" maxDate="2019-05-21T16:55:00"/>
    </cacheField>
    <cacheField name="Inicio de Ataque Ampliado" numFmtId="166">
      <sharedItems containsDate="1" containsBlank="1" containsMixedTypes="1" minDate="2019-03-02T13:55:00" maxDate="2019-05-15T08:30:00"/>
    </cacheField>
    <cacheField name="Control" numFmtId="166">
      <sharedItems containsDate="1" containsBlank="1" containsMixedTypes="1" minDate="2016-02-01T19:00:00" maxDate="2019-05-21T17:20:00"/>
    </cacheField>
    <cacheField name="Liquidación" numFmtId="166">
      <sharedItems containsDate="1" containsBlank="1" containsMixedTypes="1" minDate="2019-01-09T11:30:00" maxDate="2019-05-21T17:40:00"/>
    </cacheField>
    <cacheField name="Llegada a base " numFmtId="166">
      <sharedItems containsDate="1" containsBlank="1" containsMixedTypes="1" minDate="2019-01-09T12:40:00" maxDate="2019-05-21T18:00:00"/>
    </cacheField>
    <cacheField name="Duración" numFmtId="0">
      <sharedItems containsNonDate="0" containsDate="1" containsString="0" containsBlank="1" minDate="1899-12-30T01:05:00" maxDate="1900-01-03T19:45:00"/>
    </cacheField>
    <cacheField name="I. Detección " numFmtId="0">
      <sharedItems containsNonDate="0" containsDate="1" containsString="0" containsBlank="1" minDate="1899-12-30T00:01:00" maxDate="1900-01-01T11:56:00"/>
    </cacheField>
    <cacheField name="I. Llegada " numFmtId="20">
      <sharedItems containsNonDate="0" containsDate="1" containsString="0" containsBlank="1" minDate="1899-12-30T00:10:00" maxDate="1899-12-30T14:50:00"/>
    </cacheField>
    <cacheField name="I. Duración" numFmtId="0">
      <sharedItems containsSemiMixedTypes="0" containsNonDate="0" containsDate="1" containsString="0" minDate="1899-12-30T00:00:00" maxDate="1900-01-03T19:45:00"/>
    </cacheField>
    <cacheField name="Ataque Directo (KM)" numFmtId="0">
      <sharedItems containsString="0" containsBlank="1" containsNumber="1" minValue="0" maxValue="5"/>
    </cacheField>
    <cacheField name="Apertura de Brecha Cortafuego (KM)" numFmtId="0">
      <sharedItems containsString="0" containsBlank="1" containsNumber="1" minValue="0" maxValue="10"/>
    </cacheField>
    <cacheField name="Rehabilitación de Brecha Cortafuego (KM)" numFmtId="0">
      <sharedItems containsString="0" containsBlank="1" containsNumber="1" minValue="0" maxValue="2"/>
    </cacheField>
    <cacheField name="Quema de Ensenche (KM)" numFmtId="0">
      <sharedItems containsString="0" containsBlank="1" containsNumber="1" minValue="0" maxValue="0.8"/>
    </cacheField>
    <cacheField name="Contrafuegos                      (KM)" numFmtId="0">
      <sharedItems containsString="0" containsBlank="1" containsNumber="1" minValue="0" maxValue="200"/>
    </cacheField>
    <cacheField name="Tendido de Manguera (KM)" numFmtId="0">
      <sharedItems containsString="0" containsBlank="1" containsNumber="1" minValue="0" maxValue="0.04"/>
    </cacheField>
    <cacheField name="Sofocación (KM)" numFmtId="0">
      <sharedItems containsString="0" containsBlank="1" containsNumber="1" minValue="0" maxValue="3.5"/>
    </cacheField>
    <cacheField name="Liquidación (KM)" numFmtId="0">
      <sharedItems containsString="0" containsBlank="1" containsNumber="1" minValue="0" maxValue="16"/>
    </cacheField>
    <cacheField name="Líneas Negras (KM)" numFmtId="0">
      <sharedItems containsString="0" containsBlank="1" containsNumber="1" minValue="0" maxValue="1.2"/>
    </cacheField>
    <cacheField name="Jefe de Incidente" numFmtId="0">
      <sharedItems containsBlank="1"/>
    </cacheField>
    <cacheField name="31" numFmtId="0">
      <sharedItems containsString="0" containsBlank="1" containsNumber="1" containsInteger="1" minValue="0" maxValue="1"/>
    </cacheField>
    <cacheField name="32" numFmtId="0">
      <sharedItems containsString="0" containsBlank="1" containsNumber="1" containsInteger="1" minValue="0" maxValue="1"/>
    </cacheField>
    <cacheField name="33" numFmtId="0">
      <sharedItems containsString="0" containsBlank="1" containsNumber="1" containsInteger="1" minValue="0" maxValue="1"/>
    </cacheField>
    <cacheField name="34" numFmtId="0">
      <sharedItems containsString="0" containsBlank="1" containsNumber="1" containsInteger="1" minValue="0" maxValue="1"/>
    </cacheField>
    <cacheField name="10" numFmtId="0">
      <sharedItems containsString="0" containsBlank="1" containsNumber="1" containsInteger="1" minValue="0" maxValue="1"/>
    </cacheField>
    <cacheField name="9" numFmtId="0">
      <sharedItems containsString="0" containsBlank="1" containsNumber="1" containsInteger="1" minValue="0" maxValue="1"/>
    </cacheField>
    <cacheField name="8" numFmtId="0">
      <sharedItems containsString="0" containsBlank="1" containsNumber="1" containsInteger="1" minValue="0" maxValue="1"/>
    </cacheField>
    <cacheField name="7" numFmtId="0">
      <sharedItems containsString="0" containsBlank="1" containsNumber="1" containsInteger="1" minValue="0" maxValue="1"/>
    </cacheField>
    <cacheField name="Otros Recursos" numFmtId="0">
      <sharedItems containsBlank="1"/>
    </cacheField>
    <cacheField name="CONAFOR (Oficiales)" numFmtId="0">
      <sharedItems containsString="0" containsBlank="1" containsNumber="1" containsInteger="1" minValue="0" maxValue="113"/>
    </cacheField>
    <cacheField name="CONAFOR (Brigada Rurales Estatales)" numFmtId="0">
      <sharedItems containsString="0" containsBlank="1" containsNumber="1" containsInteger="1" minValue="0" maxValue="0"/>
    </cacheField>
    <cacheField name="CONAFOR (Brigadas Rurales Municipales)" numFmtId="0">
      <sharedItems containsString="0" containsBlank="1" containsNumber="1" containsInteger="1" minValue="0" maxValue="64"/>
    </cacheField>
    <cacheField name="CONAFOR (Servicios Ambientales)" numFmtId="0">
      <sharedItems containsString="0" containsBlank="1" containsNumber="1" containsInteger="1" minValue="0" maxValue="10"/>
    </cacheField>
    <cacheField name="CONAFOR (Subcontratados)" numFmtId="0">
      <sharedItems containsString="0" containsBlank="1" containsNumber="1" containsInteger="1" minValue="0" maxValue="9"/>
    </cacheField>
    <cacheField name="CONANP (Oficiales)" numFmtId="0">
      <sharedItems containsString="0" containsBlank="1" containsNumber="1" containsInteger="1" minValue="0" maxValue="50"/>
    </cacheField>
    <cacheField name="CONANP (Servicios Externos)" numFmtId="0">
      <sharedItems containsString="0" containsBlank="1" containsNumber="1" containsInteger="1" minValue="0" maxValue="0"/>
    </cacheField>
    <cacheField name="SEDENA" numFmtId="0">
      <sharedItems containsString="0" containsBlank="1" containsNumber="1" containsInteger="1" minValue="0" maxValue="14"/>
    </cacheField>
    <cacheField name="SEMAR" numFmtId="0">
      <sharedItems containsString="0" containsBlank="1" containsNumber="1" containsInteger="1" minValue="0" maxValue="0"/>
    </cacheField>
    <cacheField name="Otras Dependencias Federales" numFmtId="0">
      <sharedItems containsString="0" containsBlank="1" containsNumber="1" containsInteger="1" minValue="0" maxValue="6"/>
    </cacheField>
    <cacheField name="Estatal (Gobierno del Estado)" numFmtId="0">
      <sharedItems containsString="0" containsBlank="1" containsNumber="1" containsInteger="1" minValue="0" maxValue="44"/>
    </cacheField>
    <cacheField name="Estatal (Protección Civil)" numFmtId="0">
      <sharedItems containsString="0" containsBlank="1" containsNumber="1" containsInteger="1" minValue="0" maxValue="9"/>
    </cacheField>
    <cacheField name="Municipales (Gobierno del Municipio)" numFmtId="0">
      <sharedItems containsString="0" containsBlank="1" containsNumber="1" containsInteger="1" minValue="0" maxValue="25"/>
    </cacheField>
    <cacheField name="Municipales (Protección Civil)" numFmtId="0">
      <sharedItems containsString="0" containsBlank="1" containsNumber="1" containsInteger="1" minValue="0" maxValue="22"/>
    </cacheField>
    <cacheField name="Voluntarios" numFmtId="0">
      <sharedItems containsString="0" containsBlank="1" containsNumber="1" containsInteger="1" minValue="0" maxValue="52"/>
    </cacheField>
    <cacheField name="Propietarios y Poseedores de Terrenos Forestales" numFmtId="0">
      <sharedItems containsString="0" containsBlank="1" containsNumber="1" containsInteger="1" minValue="0" maxValue="150"/>
    </cacheField>
    <cacheField name="ONG´s" numFmtId="0">
      <sharedItems containsString="0" containsBlank="1" containsNumber="1" containsInteger="1" minValue="0" maxValue="0"/>
    </cacheField>
    <cacheField name="Asociación de Silvicultores" numFmtId="0">
      <sharedItems containsString="0" containsBlank="1" containsNumber="1" containsInteger="1" minValue="0" maxValue="0"/>
    </cacheField>
    <cacheField name="Sector Privado" numFmtId="0">
      <sharedItems containsString="0" containsBlank="1" containsNumber="1" containsInteger="1" minValue="0" maxValue="0"/>
    </cacheField>
    <cacheField name="Autirización de Aprovechamiento Forestal" numFmtId="0">
      <sharedItems containsString="0" containsBlank="1" containsNumber="1" containsInteger="1" minValue="0" maxValue="0"/>
    </cacheField>
    <cacheField name="Total (Oficiales)" numFmtId="0">
      <sharedItems containsSemiMixedTypes="0" containsString="0" containsNumber="1" containsInteger="1" minValue="0" maxValue="343"/>
    </cacheField>
    <cacheField name="Acumulado" numFmtId="0">
      <sharedItems containsSemiMixedTypes="0" containsString="0" containsNumber="1" containsInteger="1" minValue="16" maxValue="3771"/>
    </cacheField>
    <cacheField name="Oficiales " numFmtId="0">
      <sharedItems containsSemiMixedTypes="0" containsString="0" containsNumber="1" containsInteger="1" minValue="0" maxValue="343"/>
    </cacheField>
    <cacheField name="Voluntarios " numFmtId="0">
      <sharedItems containsSemiMixedTypes="0" containsString="0" containsNumber="1" containsInteger="1" minValue="0" maxValue="52"/>
    </cacheField>
    <cacheField name="Costo CONAFOR" numFmtId="0">
      <sharedItems containsSemiMixedTypes="0" containsString="0" containsNumber="1" containsInteger="1" minValue="0" maxValue="43279"/>
    </cacheField>
    <cacheField name="Costo Otros" numFmtId="164">
      <sharedItems containsSemiMixedTypes="0" containsString="0" containsNumber="1" containsInteger="1" minValue="0" maxValue="49910"/>
    </cacheField>
    <cacheField name="Costo Total del Personal" numFmtId="164">
      <sharedItems containsSemiMixedTypes="0" containsString="0" containsNumber="1" containsInteger="1" minValue="0" maxValue="93189"/>
    </cacheField>
    <cacheField name="Costo de operación aplicado al incendio" numFmtId="164">
      <sharedItems containsString="0" containsBlank="1" containsNumber="1" minValue="50.64" maxValue="2850"/>
    </cacheField>
    <cacheField name="Costo Total de Supresión del Incendio" numFmtId="164">
      <sharedItems containsSemiMixedTypes="0" containsString="0" containsNumber="1" minValue="0" maxValue="95894"/>
    </cacheField>
    <cacheField name="Temperatura (°C)" numFmtId="0">
      <sharedItems containsMixedTypes="1" containsNumber="1" containsInteger="1" minValue="17" maxValue="32"/>
    </cacheField>
    <cacheField name="Velocidad del Viento (Km/h)" numFmtId="0">
      <sharedItems containsMixedTypes="1" containsNumber="1" containsInteger="1" minValue="0" maxValue="20"/>
    </cacheField>
    <cacheField name="Humedad Relativa    (%)" numFmtId="0">
      <sharedItems containsMixedTypes="1" containsNumber="1" minValue="0.15" maxValue="40"/>
    </cacheField>
    <cacheField name="Dirección del viento" numFmtId="0">
      <sharedItems/>
    </cacheField>
    <cacheField name="Tipo de Incendio" numFmtId="0">
      <sharedItems/>
    </cacheField>
    <cacheField name="Afectación en Arbolado Adulto       " numFmtId="0">
      <sharedItems/>
    </cacheField>
    <cacheField name="Tipo de Vegetación" numFmtId="0">
      <sharedItems containsBlank="1"/>
    </cacheField>
    <cacheField name="Nomenclatura T. Veg." numFmtId="0">
      <sharedItems containsBlank="1"/>
    </cacheField>
    <cacheField name="Área Natural Protegida " numFmtId="0">
      <sharedItems containsBlank="1"/>
    </cacheField>
    <cacheField name="Otra ANP Afectada " numFmtId="0">
      <sharedItems containsBlank="1"/>
    </cacheField>
    <cacheField name="ANP" numFmtId="0">
      <sharedItems containsBlank="1"/>
    </cacheField>
    <cacheField name="Arbolado Adulto (HA)2" numFmtId="0">
      <sharedItems containsString="0" containsBlank="1" containsNumber="1" containsInteger="1" minValue="0" maxValue="0"/>
    </cacheField>
    <cacheField name="Renuevo (HA)3" numFmtId="0">
      <sharedItems containsString="0" containsBlank="1" containsNumber="1" minValue="0" maxValue="80"/>
    </cacheField>
    <cacheField name="Arbustivo (HA)4" numFmtId="0">
      <sharedItems containsString="0" containsBlank="1" containsNumber="1" minValue="0" maxValue="180"/>
    </cacheField>
    <cacheField name="Herbáceo (HA)5" numFmtId="0">
      <sharedItems containsString="0" containsBlank="1" containsNumber="1" minValue="0" maxValue="241.93"/>
    </cacheField>
    <cacheField name="Hojarasca (HA)6" numFmtId="0">
      <sharedItems containsString="0" containsBlank="1" containsNumber="1" minValue="0" maxValue="96.4"/>
    </cacheField>
    <cacheField name="Suelo Orgánico (HA)7" numFmtId="0">
      <sharedItems containsString="0" containsBlank="1" containsNumber="1" minValue="0" maxValue="0.97"/>
    </cacheField>
    <cacheField name="Total Superficie Afectada ANP  (AH)" numFmtId="0">
      <sharedItems containsSemiMixedTypes="0" containsString="0" containsNumber="1" minValue="0" maxValue="482.9299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">
  <r>
    <s v="19-17-0001"/>
    <n v="1"/>
    <d v="2019-01-09T00:00:00"/>
    <d v="2019-01-09T00:00:00"/>
    <s v="1 Día"/>
    <n v="1"/>
    <n v="1"/>
    <x v="0"/>
    <x v="0"/>
    <x v="0"/>
    <s v="Morelos "/>
    <n v="9"/>
    <x v="0"/>
    <s v="Huitzilac "/>
    <s v="Los Ocotes "/>
    <s v="Oriente "/>
    <n v="19"/>
    <n v="4"/>
    <n v="47.67"/>
    <n v="99"/>
    <n v="13"/>
    <n v="47.27"/>
    <s v="N 19° 04' 47.67'' W 99° 13' 47.27''"/>
    <n v="2957"/>
    <n v="0"/>
    <n v="0"/>
    <n v="0.45"/>
    <n v="0.45"/>
    <n v="0"/>
    <n v="0"/>
    <n v="0.9"/>
    <n v="0.9"/>
    <n v="0.9"/>
    <s v="Fijo"/>
    <s v="Protección Civil Municipal"/>
    <x v="0"/>
    <x v="0"/>
    <s v="Comunal"/>
    <s v="Conservación "/>
    <d v="2019-01-09T07:50:00"/>
    <d v="2019-01-09T08:15:00"/>
    <d v="2019-01-09T08:30:00"/>
    <d v="2019-01-09T09:30:00"/>
    <d v="2019-01-09T09:35:00"/>
    <m/>
    <d v="2019-01-09T11:00:00"/>
    <d v="2019-01-09T11:30:00"/>
    <d v="2019-01-09T12:40:00"/>
    <d v="1899-12-30T03:40:00"/>
    <d v="1899-12-30T00:25:00"/>
    <d v="1899-12-30T01:15:00"/>
    <d v="1899-12-30T03:40:00"/>
    <n v="0.28000000000000003"/>
    <n v="0.12"/>
    <n v="0"/>
    <n v="0"/>
    <n v="0"/>
    <n v="0"/>
    <n v="0"/>
    <n v="0"/>
    <n v="0"/>
    <s v="Juan Felipe Ramirez Torres "/>
    <n v="1"/>
    <n v="0"/>
    <n v="0"/>
    <n v="0"/>
    <n v="0"/>
    <n v="0"/>
    <n v="0"/>
    <n v="0"/>
    <s v="PC Huitzilac "/>
    <n v="14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16"/>
    <n v="16"/>
    <n v="16"/>
    <n v="0"/>
    <n v="5362"/>
    <n v="434"/>
    <n v="5796"/>
    <n v="216"/>
    <n v="6012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0.45"/>
    <n v="0.45"/>
    <n v="0"/>
    <n v="0"/>
    <n v="0.9"/>
  </r>
  <r>
    <s v="19-17-0002"/>
    <n v="2"/>
    <d v="2019-01-25T00:00:00"/>
    <d v="2019-01-25T00:00:00"/>
    <s v="1 Día"/>
    <n v="2"/>
    <n v="1"/>
    <x v="1"/>
    <x v="1"/>
    <x v="0"/>
    <s v="Morelos "/>
    <n v="20"/>
    <x v="1"/>
    <s v="Santa Catarina "/>
    <s v="El Guayabo"/>
    <m/>
    <n v="18"/>
    <n v="57"/>
    <n v="50.67"/>
    <n v="99"/>
    <n v="10"/>
    <n v="19.489999999999998"/>
    <s v="N 18° 57' 50.67'' W 99° 10' 19.49''"/>
    <n v="1649"/>
    <n v="0"/>
    <n v="0"/>
    <n v="1.85"/>
    <n v="4"/>
    <n v="0"/>
    <n v="0"/>
    <n v="5.85"/>
    <n v="6.75"/>
    <n v="3.375"/>
    <s v="Fijo"/>
    <s v="CONAFOR"/>
    <x v="1"/>
    <x v="1"/>
    <s v="Comunal"/>
    <s v="Conservación "/>
    <d v="2019-01-25T16:20:00"/>
    <d v="2019-01-25T16:25:00"/>
    <d v="2019-01-25T16:30:00"/>
    <d v="2019-01-25T17:00:00"/>
    <d v="2019-01-25T17:05:00"/>
    <m/>
    <d v="2019-01-25T18:30:00"/>
    <d v="2019-01-25T19:00:00"/>
    <d v="2019-01-25T19:30:00"/>
    <d v="1899-12-30T02:40:00"/>
    <d v="1899-12-30T00:05:00"/>
    <d v="1899-12-30T00:35:00"/>
    <d v="1899-12-30T02:40:00"/>
    <n v="0.2"/>
    <n v="0"/>
    <n v="0"/>
    <n v="0"/>
    <n v="0.1"/>
    <n v="0"/>
    <n v="0.3"/>
    <n v="0.5"/>
    <n v="0"/>
    <s v="Florencio Pacheco Vargas "/>
    <n v="0"/>
    <n v="0"/>
    <n v="1"/>
    <n v="0"/>
    <n v="0"/>
    <n v="0"/>
    <n v="0"/>
    <n v="0"/>
    <m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32"/>
    <n v="16"/>
    <n v="0"/>
    <n v="6128"/>
    <n v="0"/>
    <n v="6128"/>
    <n v="133"/>
    <n v="6261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1.85"/>
    <n v="4"/>
    <n v="0"/>
    <n v="0"/>
    <n v="5.85"/>
  </r>
  <r>
    <s v="19-17-0003"/>
    <n v="3"/>
    <d v="2019-01-30T00:00:00"/>
    <d v="2019-01-30T00:00:00"/>
    <s v="1 Día"/>
    <n v="3"/>
    <n v="1"/>
    <x v="1"/>
    <x v="0"/>
    <x v="0"/>
    <s v="Morelos "/>
    <n v="20"/>
    <x v="1"/>
    <s v="Santa Catarina "/>
    <s v="El km 8"/>
    <s v="Sur"/>
    <n v="18"/>
    <n v="57"/>
    <n v="23.4"/>
    <n v="99"/>
    <n v="10"/>
    <n v="16.8"/>
    <s v="N 18° 57' 23.40'' W 99° 10' 16.80''"/>
    <n v="1615"/>
    <n v="0"/>
    <n v="0"/>
    <n v="0"/>
    <n v="0.9"/>
    <n v="0"/>
    <n v="0"/>
    <n v="0.9"/>
    <n v="7.65"/>
    <n v="2.5500000000000003"/>
    <s v="Fijo"/>
    <s v="CONAFOR"/>
    <x v="2"/>
    <x v="2"/>
    <s v="Comunal"/>
    <s v="Conservación "/>
    <d v="2019-01-30T12:00:00"/>
    <d v="2019-01-30T12:05:00"/>
    <d v="2019-01-30T12:10:00"/>
    <d v="2019-01-30T13:30:00"/>
    <d v="2019-01-30T13:35:00"/>
    <m/>
    <d v="2019-01-30T14:30:00"/>
    <d v="2019-01-30T14:50:00"/>
    <d v="2019-01-30T15:50:00"/>
    <d v="1899-12-30T02:50:00"/>
    <d v="1899-12-30T00:05:00"/>
    <d v="1899-12-30T01:25:00"/>
    <d v="1899-12-30T02:50:00"/>
    <n v="7.0000000000000007E-2"/>
    <n v="0.18"/>
    <n v="0"/>
    <n v="0"/>
    <n v="0.2"/>
    <n v="0"/>
    <n v="0"/>
    <n v="0.6"/>
    <n v="0"/>
    <s v="Rogelio Galeana Martinez"/>
    <n v="1"/>
    <n v="0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1"/>
    <n v="9"/>
    <n v="0"/>
    <n v="3447"/>
    <n v="0"/>
    <n v="3447"/>
    <n v="138.5"/>
    <n v="3585.5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"/>
    <n v="0.9"/>
    <n v="0"/>
    <n v="0"/>
    <n v="0.9"/>
  </r>
  <r>
    <s v="19-17-0004"/>
    <n v="4"/>
    <d v="2019-01-31T00:00:00"/>
    <d v="2019-01-31T00:00:00"/>
    <s v="1 Día"/>
    <n v="4"/>
    <n v="1"/>
    <x v="1"/>
    <x v="2"/>
    <x v="0"/>
    <s v="Morelos "/>
    <n v="20"/>
    <x v="1"/>
    <s v="Santa Catarina "/>
    <s v="La Tranca"/>
    <m/>
    <n v="18"/>
    <n v="58"/>
    <n v="32.700000000000003"/>
    <n v="99"/>
    <n v="10"/>
    <n v="45.4"/>
    <s v="N 18° 58' 32.70'' W 99° 10' 45.40''"/>
    <n v="1704"/>
    <n v="0"/>
    <n v="0"/>
    <n v="0.05"/>
    <n v="0.05"/>
    <n v="0"/>
    <n v="0"/>
    <n v="0.1"/>
    <n v="7.75"/>
    <n v="1.9375"/>
    <s v="Fijo"/>
    <s v="CONAFOR"/>
    <x v="2"/>
    <x v="2"/>
    <s v="Comunal"/>
    <s v="Conservación "/>
    <d v="2019-01-31T11:00:00"/>
    <d v="2019-01-31T11:05:00"/>
    <d v="2019-01-31T11:08:00"/>
    <d v="2019-01-31T11:38:00"/>
    <d v="2019-01-31T11:40:00"/>
    <m/>
    <d v="2019-01-31T12:00:00"/>
    <d v="2019-01-31T12:30:00"/>
    <d v="2019-01-31T13:00:00"/>
    <d v="1899-12-30T01:30:00"/>
    <d v="1899-12-30T00:05:00"/>
    <d v="1899-12-30T00:33:00"/>
    <d v="1899-12-30T01:30:00"/>
    <n v="0.05"/>
    <n v="0.06"/>
    <n v="0"/>
    <n v="0"/>
    <n v="0.03"/>
    <n v="0"/>
    <n v="0"/>
    <n v="0.05"/>
    <n v="0"/>
    <s v="Teodoro Rea Martinez"/>
    <n v="0"/>
    <n v="0"/>
    <n v="0"/>
    <n v="1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9"/>
    <n v="8"/>
    <n v="0"/>
    <n v="3064"/>
    <n v="0"/>
    <n v="3064"/>
    <n v="116.29"/>
    <n v="3180.29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.05"/>
    <n v="0.05"/>
    <n v="0"/>
    <n v="0"/>
    <n v="0.1"/>
  </r>
  <r>
    <s v="19-17-0005"/>
    <n v="5"/>
    <d v="2019-01-31T00:00:00"/>
    <d v="2019-01-31T00:00:00"/>
    <s v="1 Día"/>
    <n v="5"/>
    <n v="1"/>
    <x v="1"/>
    <x v="2"/>
    <x v="0"/>
    <s v="Morelos "/>
    <n v="9"/>
    <x v="0"/>
    <s v="Huitzilac "/>
    <s v="km 55 de la Autopista "/>
    <s v="Poniente"/>
    <n v="19"/>
    <n v="1"/>
    <n v="40.200000000000003"/>
    <n v="99"/>
    <n v="13"/>
    <n v="36.6"/>
    <s v="N 19° 01' 40.20'' W 99° 13' 36.60''"/>
    <n v="2608"/>
    <n v="0"/>
    <n v="0"/>
    <n v="0.4"/>
    <n v="0.4"/>
    <n v="0"/>
    <n v="0"/>
    <n v="0.8"/>
    <n v="8.5500000000000007"/>
    <n v="1.7100000000000002"/>
    <s v="Fijo"/>
    <s v="CONAFOR"/>
    <x v="3"/>
    <x v="3"/>
    <s v="Comunal"/>
    <s v="Conservación "/>
    <d v="2019-01-31T17:50:00"/>
    <d v="2019-01-31T17:55:00"/>
    <d v="2019-01-31T18:00:00"/>
    <d v="2019-01-31T18:25:00"/>
    <d v="2019-01-31T18:30:00"/>
    <m/>
    <d v="2019-01-31T19:20:00"/>
    <d v="2019-01-31T19:40:00"/>
    <d v="2019-01-31T20:00:00"/>
    <d v="1899-12-30T01:50:00"/>
    <d v="1899-12-30T00:05:00"/>
    <d v="1899-12-30T00:30:00"/>
    <d v="1899-12-30T01:50:00"/>
    <n v="0.1"/>
    <n v="0"/>
    <n v="0"/>
    <n v="0"/>
    <n v="0"/>
    <n v="0"/>
    <n v="0.05"/>
    <n v="0.08"/>
    <n v="0"/>
    <s v="Federico Galeana Simeon"/>
    <n v="0"/>
    <n v="1"/>
    <n v="0"/>
    <n v="0"/>
    <n v="0"/>
    <n v="0"/>
    <n v="0"/>
    <n v="0"/>
    <s v="PC Huitzilac "/>
    <n v="9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13"/>
    <n v="62"/>
    <n v="13"/>
    <n v="0"/>
    <n v="3447"/>
    <n v="868"/>
    <n v="4315"/>
    <n v="260.68"/>
    <n v="4575.68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0.4"/>
    <n v="0.4"/>
    <n v="0"/>
    <n v="0"/>
    <n v="0.8"/>
  </r>
  <r>
    <s v="19-17-0006"/>
    <n v="6"/>
    <d v="2019-02-01T00:00:00"/>
    <d v="2019-02-01T00:00:00"/>
    <s v="1 Día"/>
    <n v="1"/>
    <n v="1"/>
    <x v="2"/>
    <x v="1"/>
    <x v="1"/>
    <s v="Morelos "/>
    <n v="23"/>
    <x v="2"/>
    <s v="Tlalnepantla"/>
    <s v="Teteconzin"/>
    <m/>
    <n v="19"/>
    <n v="2"/>
    <n v="37.36"/>
    <n v="99"/>
    <n v="2"/>
    <n v="10.57"/>
    <s v="N 19° 02' 37.36'' W 99° 02' 10.57''"/>
    <n v="2963"/>
    <n v="0"/>
    <n v="0"/>
    <n v="0.27"/>
    <n v="2"/>
    <n v="0"/>
    <n v="0"/>
    <n v="2.27"/>
    <n v="10.82"/>
    <n v="1.8033333333333335"/>
    <s v="Fijo"/>
    <s v="CEMF"/>
    <x v="0"/>
    <x v="0"/>
    <s v="Comunal"/>
    <s v="Conservación "/>
    <d v="2019-02-01T13:10:00"/>
    <d v="2019-02-01T13:15:00"/>
    <d v="2019-02-01T13:20:00"/>
    <d v="2019-02-01T16:32:00"/>
    <d v="2019-02-01T16:35:00"/>
    <m/>
    <d v="2016-02-01T19:00:00"/>
    <d v="2019-02-01T20:00:00"/>
    <d v="2019-02-01T23:00:00"/>
    <d v="1899-12-30T06:50:00"/>
    <d v="1899-12-30T00:05:00"/>
    <d v="1899-12-30T03:17:00"/>
    <d v="1899-12-30T06:50:00"/>
    <n v="0.05"/>
    <n v="0.08"/>
    <n v="0"/>
    <n v="0.03"/>
    <n v="0.05"/>
    <n v="0"/>
    <n v="0"/>
    <n v="0.2"/>
    <n v="0"/>
    <s v="Teodoro Rea Martinez"/>
    <n v="0"/>
    <n v="1"/>
    <n v="0"/>
    <n v="1"/>
    <n v="0"/>
    <n v="0"/>
    <n v="0"/>
    <n v="0"/>
    <m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"/>
    <n v="81"/>
    <n v="19"/>
    <n v="0"/>
    <n v="7277"/>
    <n v="0"/>
    <n v="7277"/>
    <n v="1000"/>
    <n v="8277"/>
    <n v="22"/>
    <n v="20"/>
    <n v="0.15"/>
    <s v="Sin dato"/>
    <s v="Superficial "/>
    <s v="Minimo"/>
    <s v="Bosque de Pino - Encino "/>
    <s v="BPQ"/>
    <s v="Corredor Biológico Chichinautzin "/>
    <s v="No aplica "/>
    <s v="CBC"/>
    <n v="0"/>
    <n v="0"/>
    <n v="0.27"/>
    <n v="2"/>
    <n v="0"/>
    <n v="0"/>
    <n v="2.27"/>
  </r>
  <r>
    <s v="19-17-0007"/>
    <n v="7"/>
    <d v="2019-02-02T00:00:00"/>
    <d v="2019-02-03T00:00:00"/>
    <s v="2 o más Días"/>
    <n v="2"/>
    <n v="1"/>
    <x v="2"/>
    <x v="3"/>
    <x v="1"/>
    <s v="Morelos "/>
    <n v="23"/>
    <x v="2"/>
    <s v="Tlalnepantla"/>
    <s v="Teteconzin"/>
    <m/>
    <n v="19"/>
    <n v="3"/>
    <n v="2.46"/>
    <n v="99"/>
    <n v="2"/>
    <n v="56.37"/>
    <s v="N 19° 03' 02.46'' W 99° 02' 56.37''"/>
    <n v="3025"/>
    <n v="0"/>
    <n v="0"/>
    <n v="4"/>
    <n v="25"/>
    <n v="3.44"/>
    <n v="0"/>
    <n v="32.44"/>
    <n v="43.26"/>
    <n v="6.18"/>
    <s v="Fijo"/>
    <s v="CONAFOR"/>
    <x v="0"/>
    <x v="0"/>
    <s v="Comunal"/>
    <s v="Predio Pago por Servicios Ambientales "/>
    <d v="2019-02-02T13:35:00"/>
    <d v="2019-02-02T13:40:00"/>
    <d v="2019-02-02T13:47:00"/>
    <d v="2019-02-02T17:00:00"/>
    <d v="2019-02-02T17:10:00"/>
    <m/>
    <d v="2019-02-03T15:30:00"/>
    <d v="2019-02-03T17:30:00"/>
    <d v="2019-02-03T22:00:00"/>
    <d v="1899-12-31T03:55:00"/>
    <d v="1899-12-30T00:05:00"/>
    <d v="1899-12-30T03:20:00"/>
    <d v="1899-12-31T03:55:00"/>
    <n v="0.3"/>
    <n v="0.25"/>
    <n v="0"/>
    <n v="0"/>
    <n v="0.2"/>
    <n v="0"/>
    <n v="0"/>
    <n v="0"/>
    <n v="0"/>
    <s v="Margarito Rodriguez Rodriguez "/>
    <n v="1"/>
    <n v="0"/>
    <n v="1"/>
    <n v="1"/>
    <n v="0"/>
    <n v="0"/>
    <n v="0"/>
    <n v="0"/>
    <m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114"/>
    <n v="33"/>
    <n v="0"/>
    <n v="12639"/>
    <n v="0"/>
    <n v="12639"/>
    <n v="1596"/>
    <n v="14235"/>
    <s v="Sin dato"/>
    <s v="Sin dato"/>
    <s v="Sin dato"/>
    <s v="Sin dato"/>
    <s v="Superficial "/>
    <s v="Minimo"/>
    <s v="Bosque de Pino - Encino "/>
    <s v="BPQ"/>
    <s v="Parque Nacional El Tepozteco "/>
    <s v="No aplica "/>
    <s v="PNTP"/>
    <n v="0"/>
    <n v="0"/>
    <n v="4"/>
    <n v="25"/>
    <n v="3.44"/>
    <n v="0"/>
    <n v="32.44"/>
  </r>
  <r>
    <s v="19-17-0008"/>
    <n v="8"/>
    <d v="2019-02-02T00:00:00"/>
    <d v="2019-02-02T00:00:00"/>
    <s v="1 Día"/>
    <n v="3"/>
    <n v="1"/>
    <x v="2"/>
    <x v="3"/>
    <x v="1"/>
    <s v="Morelos "/>
    <n v="31"/>
    <x v="3"/>
    <s v="El Venado "/>
    <s v="Cerro del Venado "/>
    <s v="Sur"/>
    <n v="18"/>
    <n v="37"/>
    <n v="21.58"/>
    <n v="99"/>
    <n v="14"/>
    <n v="9.06"/>
    <s v="N 18° 37' 21.58'' W 99° 14' 09.06''"/>
    <n v="1119"/>
    <n v="0"/>
    <n v="0"/>
    <n v="7.47"/>
    <n v="26"/>
    <n v="0"/>
    <n v="0"/>
    <n v="33.47"/>
    <n v="76.72999999999999"/>
    <n v="9.5912499999999987"/>
    <s v="Fijo"/>
    <s v="Protección Civil Municipal"/>
    <x v="3"/>
    <x v="4"/>
    <s v="Ejidal"/>
    <s v="Conservación "/>
    <d v="2019-02-02T14:20:00"/>
    <d v="2019-02-02T14:25:00"/>
    <d v="2019-02-02T14:30:00"/>
    <d v="2019-02-02T15:50:00"/>
    <d v="2019-02-02T16:00:00"/>
    <m/>
    <d v="2019-02-02T20:00:00"/>
    <d v="2019-02-02T20:30:00"/>
    <d v="2019-02-02T22:00:00"/>
    <d v="1899-12-30T06:10:00"/>
    <d v="1899-12-30T00:05:00"/>
    <d v="1899-12-30T01:25:00"/>
    <d v="1899-12-30T06:10:00"/>
    <n v="0.3"/>
    <n v="0.5"/>
    <n v="0"/>
    <n v="0"/>
    <n v="0"/>
    <n v="0"/>
    <n v="0.4"/>
    <n v="0.4"/>
    <n v="0"/>
    <s v="Federico Galeana Simeon"/>
    <n v="0"/>
    <n v="1"/>
    <n v="0"/>
    <n v="0"/>
    <n v="0"/>
    <n v="0"/>
    <n v="0"/>
    <n v="0"/>
    <s v="PC Zacatepec "/>
    <n v="9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14"/>
    <n v="128"/>
    <n v="14"/>
    <n v="0"/>
    <n v="3447"/>
    <n v="1085"/>
    <n v="4532"/>
    <n v="342"/>
    <n v="4874"/>
    <s v="Sin dato"/>
    <s v="Sin dato"/>
    <s v="Sin dato"/>
    <s v="Sin dato"/>
    <s v="Superficial "/>
    <s v="Minimo"/>
    <s v="Selva Baja Caducifolia "/>
    <s v="SBC"/>
    <s v="Fuera ANP"/>
    <s v="No aplica "/>
    <s v="FANP"/>
    <n v="0"/>
    <n v="0"/>
    <n v="0"/>
    <n v="0"/>
    <n v="0"/>
    <n v="0"/>
    <n v="0"/>
  </r>
  <r>
    <s v="19-17-0009"/>
    <n v="9"/>
    <d v="2019-01-15T00:00:00"/>
    <d v="2019-01-15T00:00:00"/>
    <s v="1 Día"/>
    <n v="6"/>
    <n v="1"/>
    <x v="3"/>
    <x v="4"/>
    <x v="0"/>
    <s v="Morelos "/>
    <n v="20"/>
    <x v="1"/>
    <s v="Tepoztlán"/>
    <s v="La Quinta Piedra "/>
    <m/>
    <n v="18"/>
    <n v="55"/>
    <n v="44.83"/>
    <n v="99"/>
    <n v="3"/>
    <n v="41.3"/>
    <s v="N 18° 55' 44.83'' W 99° 03' 41.30''"/>
    <n v="1294"/>
    <n v="0"/>
    <n v="0"/>
    <n v="20.37"/>
    <n v="54"/>
    <n v="0"/>
    <n v="0"/>
    <n v="74.37"/>
    <n v="151.1"/>
    <n v="16.788888888888888"/>
    <s v="Fijo"/>
    <s v="Protección Civil Municipal"/>
    <x v="3"/>
    <x v="5"/>
    <s v="Comunal"/>
    <s v="Conservación "/>
    <d v="2019-01-15T10:00:00"/>
    <d v="2019-01-15T10:50:00"/>
    <d v="2019-01-15T13:30:00"/>
    <d v="2019-01-15T13:45:00"/>
    <d v="2019-01-15T14:00:00"/>
    <m/>
    <d v="2019-01-15T18:30:00"/>
    <d v="2019-01-15T19:30:00"/>
    <d v="2019-01-15T21:10:00"/>
    <d v="1899-12-30T09:30:00"/>
    <d v="1899-12-30T00:50:00"/>
    <d v="1899-12-30T02:55:00"/>
    <d v="1899-12-30T09:30:00"/>
    <n v="0.2"/>
    <n v="0.3"/>
    <n v="0"/>
    <n v="0"/>
    <n v="0"/>
    <n v="0"/>
    <n v="0"/>
    <n v="0.5"/>
    <n v="0"/>
    <s v="German Rodriguez Garduño "/>
    <n v="0"/>
    <n v="0"/>
    <n v="0"/>
    <n v="0"/>
    <n v="0"/>
    <n v="0"/>
    <n v="0"/>
    <n v="0"/>
    <s v="Protección Ambiental 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6"/>
    <n v="134"/>
    <n v="6"/>
    <n v="0"/>
    <n v="0"/>
    <n v="1302"/>
    <n v="1302"/>
    <n v="133"/>
    <n v="1435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20.76"/>
    <n v="53"/>
    <n v="0"/>
    <n v="0"/>
    <n v="73.760000000000005"/>
  </r>
  <r>
    <s v="19-17-0010"/>
    <n v="10"/>
    <d v="2019-02-03T00:00:00"/>
    <d v="2019-02-03T00:00:00"/>
    <s v="1 Día"/>
    <n v="4"/>
    <n v="1"/>
    <x v="2"/>
    <x v="5"/>
    <x v="1"/>
    <s v="Morelos "/>
    <n v="31"/>
    <x v="3"/>
    <s v="Zacatepec "/>
    <s v="Cerro de la Culebra "/>
    <m/>
    <n v="18"/>
    <n v="37"/>
    <n v="34.49"/>
    <n v="99"/>
    <n v="13"/>
    <n v="44.26"/>
    <s v="N 18° 37' 34.49'' W 99° 13' 44.26''"/>
    <n v="1074"/>
    <n v="0"/>
    <n v="0"/>
    <n v="0"/>
    <n v="0.9"/>
    <n v="0"/>
    <n v="0"/>
    <n v="0.9"/>
    <n v="152"/>
    <n v="15.2"/>
    <s v="Fijo"/>
    <s v="CONAFOR"/>
    <x v="3"/>
    <x v="3"/>
    <s v="Ejidal"/>
    <s v="Conservación "/>
    <d v="2019-02-03T12:50:00"/>
    <d v="2019-02-03T12:55:00"/>
    <d v="2019-02-03T13:00:00"/>
    <d v="2019-02-03T14:20:00"/>
    <d v="2019-02-03T14:25:00"/>
    <m/>
    <d v="2019-02-03T17:00:00"/>
    <d v="2019-02-03T19:00:00"/>
    <d v="2019-02-03T20:00:00"/>
    <d v="1899-12-30T06:10:00"/>
    <d v="1899-12-30T00:05:00"/>
    <d v="1899-12-30T01:25:00"/>
    <d v="1899-12-30T06:10:00"/>
    <n v="0.1"/>
    <n v="0.12"/>
    <n v="0"/>
    <n v="0"/>
    <n v="0.1"/>
    <n v="0"/>
    <n v="0"/>
    <n v="0.18"/>
    <n v="0"/>
    <s v="Teodoro Rea Martinez"/>
    <n v="0"/>
    <n v="0"/>
    <n v="0"/>
    <n v="1"/>
    <n v="0"/>
    <n v="0"/>
    <n v="0"/>
    <n v="0"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4"/>
    <n v="10"/>
    <n v="0"/>
    <n v="3830"/>
    <n v="0"/>
    <n v="3830"/>
    <n v="475"/>
    <n v="4305"/>
    <s v="Sin dato"/>
    <s v="Sin dato"/>
    <s v="Sin dato"/>
    <s v="Sin dato"/>
    <s v="Superficial "/>
    <s v="Minimo"/>
    <s v="Selva Baja Caducifolia "/>
    <s v="SBC"/>
    <s v="Fuera ANP"/>
    <s v="No aplica "/>
    <s v="FANP"/>
    <n v="0"/>
    <n v="0"/>
    <n v="0"/>
    <n v="0"/>
    <n v="0"/>
    <n v="0"/>
    <n v="0"/>
  </r>
  <r>
    <s v="19-17-0011"/>
    <n v="11"/>
    <d v="2019-02-03T00:00:00"/>
    <d v="2019-02-03T00:00:00"/>
    <s v="1 Día"/>
    <n v="5"/>
    <n v="1"/>
    <x v="2"/>
    <x v="5"/>
    <x v="1"/>
    <s v="Morelos "/>
    <n v="20"/>
    <x v="1"/>
    <s v="Santa Catarina "/>
    <s v="Tetecolala"/>
    <s v="Oriente "/>
    <n v="18"/>
    <n v="56"/>
    <n v="14.9"/>
    <n v="99"/>
    <n v="9"/>
    <n v="20.48"/>
    <s v="N 18° 56' 14.90'' W 99° 09' 20.48''"/>
    <n v="1530"/>
    <n v="0"/>
    <n v="0"/>
    <n v="0.97"/>
    <n v="1"/>
    <n v="0"/>
    <n v="0"/>
    <n v="1.97"/>
    <n v="153.97"/>
    <n v="13.997272727272728"/>
    <s v="Fijo"/>
    <s v="CONAFOR"/>
    <x v="2"/>
    <x v="2"/>
    <s v="Comunal"/>
    <s v="Conservación "/>
    <d v="2019-02-03T13:30:00"/>
    <d v="2019-02-03T13:35:00"/>
    <d v="2019-02-03T13:40:00"/>
    <d v="2019-02-03T14:35:00"/>
    <d v="2019-02-03T14:40:00"/>
    <m/>
    <d v="2019-02-03T17:30:00"/>
    <d v="2019-02-03T18:20:00"/>
    <d v="2019-02-03T19:30:00"/>
    <d v="1899-12-30T04:50:00"/>
    <d v="1899-12-30T00:05:00"/>
    <d v="1899-12-30T01:00:00"/>
    <d v="1899-12-30T04:50:00"/>
    <n v="0.2"/>
    <n v="0.4"/>
    <n v="0"/>
    <n v="0"/>
    <n v="0"/>
    <n v="0"/>
    <n v="0.3"/>
    <n v="0"/>
    <n v="0"/>
    <s v="Federico Galeana Simeon"/>
    <n v="0"/>
    <n v="1"/>
    <n v="0"/>
    <n v="0"/>
    <n v="0"/>
    <n v="1"/>
    <n v="0"/>
    <n v="0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1"/>
    <n v="7"/>
    <n v="0"/>
    <n v="2681"/>
    <n v="0"/>
    <n v="2681"/>
    <n v="228"/>
    <n v="2909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.97"/>
    <n v="1"/>
    <n v="0"/>
    <n v="0"/>
    <n v="1.97"/>
  </r>
  <r>
    <s v="19-17-0012"/>
    <n v="12"/>
    <d v="2019-02-04T00:00:00"/>
    <d v="2019-02-04T00:00:00"/>
    <s v="1 Día"/>
    <n v="6"/>
    <n v="1"/>
    <x v="2"/>
    <x v="6"/>
    <x v="1"/>
    <s v="Morelos "/>
    <n v="20"/>
    <x v="1"/>
    <s v="Santa Catarina "/>
    <s v="La Cañada "/>
    <m/>
    <n v="18"/>
    <n v="57"/>
    <n v="53.5"/>
    <n v="99"/>
    <n v="9"/>
    <n v="50"/>
    <s v="N 18° 57' 53.50'' W 99° 09' 50.00''"/>
    <n v="1631"/>
    <n v="0"/>
    <n v="0"/>
    <n v="0"/>
    <n v="0.8"/>
    <n v="0"/>
    <n v="0"/>
    <n v="0.8"/>
    <n v="154.77000000000001"/>
    <n v="12.897500000000001"/>
    <s v="Fijo"/>
    <s v="CONAFOR"/>
    <x v="2"/>
    <x v="2"/>
    <s v="Comunal"/>
    <s v="Conservación "/>
    <d v="2019-02-04T10:00:00"/>
    <d v="2019-02-04T10:05:00"/>
    <d v="2019-02-04T10:10:00"/>
    <d v="2019-02-04T11:00:00"/>
    <d v="2019-02-04T11:05:00"/>
    <m/>
    <d v="2019-02-04T11:40:00"/>
    <d v="2019-02-04T12:00:00"/>
    <d v="2019-02-04T12:40:00"/>
    <d v="1899-12-30T02:00:00"/>
    <d v="1899-12-30T00:05:00"/>
    <d v="1899-12-30T00:55:00"/>
    <d v="1899-12-30T02:00:00"/>
    <n v="0.18"/>
    <n v="0.2"/>
    <n v="0"/>
    <n v="0"/>
    <n v="0.2"/>
    <n v="0"/>
    <n v="0"/>
    <n v="0"/>
    <n v="0"/>
    <s v="Rogelio Galeana Martinez"/>
    <n v="1"/>
    <n v="0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59"/>
    <n v="8"/>
    <n v="0"/>
    <n v="3064"/>
    <n v="0"/>
    <n v="3064"/>
    <n v="209"/>
    <n v="3273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"/>
    <n v="0.8"/>
    <n v="0"/>
    <n v="0"/>
    <n v="0.8"/>
  </r>
  <r>
    <s v="19-17-0013"/>
    <n v="13"/>
    <d v="2019-02-04T00:00:00"/>
    <d v="2019-02-04T00:00:00"/>
    <s v="1 Día"/>
    <n v="7"/>
    <n v="1"/>
    <x v="2"/>
    <x v="6"/>
    <x v="1"/>
    <s v="Morelos "/>
    <n v="20"/>
    <x v="1"/>
    <s v="Santa Catarina "/>
    <s v="El Pochote "/>
    <s v="Nor - Poniente "/>
    <n v="18"/>
    <n v="57"/>
    <n v="39.1"/>
    <n v="99"/>
    <n v="10"/>
    <n v="16.399999999999999"/>
    <s v="N 18° 57' 39.10'' W 99° 10' 16.40''"/>
    <n v="1623"/>
    <n v="0"/>
    <n v="0"/>
    <n v="0"/>
    <n v="0.9"/>
    <n v="0"/>
    <n v="0"/>
    <n v="0.9"/>
    <n v="155.67000000000002"/>
    <n v="11.974615384615387"/>
    <s v="Fijo"/>
    <s v="CONAFOR"/>
    <x v="2"/>
    <x v="2"/>
    <s v="Comunal"/>
    <s v="Conservación "/>
    <d v="2019-02-04T15:50:00"/>
    <d v="2019-02-04T15:55:00"/>
    <d v="2019-02-04T16:00:00"/>
    <d v="2019-02-04T16:45:00"/>
    <d v="2019-02-04T16:50:00"/>
    <m/>
    <d v="2019-02-04T18:00:00"/>
    <d v="2019-02-04T18:40:00"/>
    <d v="2019-02-04T19:00:00"/>
    <d v="1899-12-30T02:50:00"/>
    <d v="1899-12-30T00:05:00"/>
    <d v="1899-12-30T00:50:00"/>
    <d v="1899-12-30T02:50:00"/>
    <n v="0"/>
    <n v="0.2"/>
    <n v="0"/>
    <n v="0.1"/>
    <n v="0.05"/>
    <n v="0"/>
    <n v="0"/>
    <n v="0"/>
    <n v="0"/>
    <s v="Margarito Rodriguez Rodriguez "/>
    <n v="0"/>
    <n v="0"/>
    <n v="1"/>
    <n v="0"/>
    <n v="0"/>
    <n v="0"/>
    <n v="0"/>
    <n v="0"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9"/>
    <n v="10"/>
    <n v="0"/>
    <n v="3830"/>
    <n v="0"/>
    <n v="3830"/>
    <n v="209"/>
    <n v="4039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"/>
    <n v="0.9"/>
    <n v="0"/>
    <n v="0"/>
    <n v="0.9"/>
  </r>
  <r>
    <s v="19-17-0014"/>
    <n v="14"/>
    <d v="2019-02-06T00:00:00"/>
    <d v="2019-02-06T00:00:00"/>
    <s v="1 Día"/>
    <n v="8"/>
    <n v="1"/>
    <x v="2"/>
    <x v="0"/>
    <x v="1"/>
    <s v="Morelos "/>
    <n v="20"/>
    <x v="1"/>
    <s v="Santa Catarina "/>
    <s v="km8"/>
    <s v="Sur"/>
    <n v="18"/>
    <n v="57"/>
    <n v="57.96"/>
    <n v="99"/>
    <n v="10"/>
    <n v="26.4"/>
    <s v="N 18° 57' 57.96'' W 99° 10' 26.40''"/>
    <n v="1652"/>
    <n v="0"/>
    <n v="0"/>
    <n v="2.5299999999999998"/>
    <n v="2"/>
    <n v="0"/>
    <n v="0"/>
    <n v="4.5299999999999994"/>
    <n v="160.20000000000002"/>
    <n v="11.442857142857145"/>
    <s v="Fijo"/>
    <s v="CONAFOR"/>
    <x v="2"/>
    <x v="2"/>
    <s v="Comunal"/>
    <s v="Conservación "/>
    <d v="2019-02-06T11:00:00"/>
    <d v="2019-02-06T11:10:00"/>
    <d v="2019-02-06T11:15:00"/>
    <d v="2019-02-06T12:30:00"/>
    <d v="2019-02-06T12:35:00"/>
    <m/>
    <d v="2019-02-06T15:40:00"/>
    <d v="2019-02-06T16:10:00"/>
    <d v="2019-02-06T00:00:00"/>
    <d v="1899-12-30T05:10:00"/>
    <d v="1899-12-30T00:10:00"/>
    <d v="1899-12-30T01:20:00"/>
    <d v="1899-12-30T05:10:00"/>
    <n v="0.3"/>
    <n v="0.4"/>
    <n v="0"/>
    <n v="0"/>
    <n v="1"/>
    <n v="0"/>
    <n v="0.15"/>
    <n v="1.7"/>
    <n v="0"/>
    <s v="Rogelio Galeana Martinez"/>
    <n v="1"/>
    <n v="0"/>
    <n v="0"/>
    <n v="0"/>
    <n v="0"/>
    <n v="0"/>
    <n v="0"/>
    <n v="0"/>
    <s v="PSA"/>
    <n v="9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14"/>
    <n v="183"/>
    <n v="14"/>
    <n v="0"/>
    <n v="3447"/>
    <n v="1085"/>
    <n v="4532"/>
    <n v="305.76"/>
    <n v="4837.76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2.5299999999999998"/>
    <n v="2"/>
    <n v="0"/>
    <n v="0"/>
    <n v="4.5299999999999994"/>
  </r>
  <r>
    <s v="19-17-0015"/>
    <n v="15"/>
    <d v="2019-02-06T00:00:00"/>
    <d v="2019-02-06T00:00:00"/>
    <s v="1 Día"/>
    <n v="9"/>
    <n v="1"/>
    <x v="2"/>
    <x v="0"/>
    <x v="1"/>
    <s v="Morelos "/>
    <n v="20"/>
    <x v="1"/>
    <s v="Santa Catarina "/>
    <s v="Ixtlaltecuahuitl"/>
    <m/>
    <n v="18"/>
    <n v="58"/>
    <n v="19.350000000000001"/>
    <n v="99"/>
    <n v="10"/>
    <n v="45.32"/>
    <s v="N 18° 58' 19.35'' W 99° 10' 45.32''"/>
    <n v="1687"/>
    <n v="0"/>
    <n v="0"/>
    <n v="2.13"/>
    <n v="2"/>
    <n v="0"/>
    <n v="0"/>
    <n v="4.13"/>
    <n v="164.33"/>
    <n v="10.955333333333334"/>
    <s v="Fijo"/>
    <s v="CONAFOR"/>
    <x v="1"/>
    <x v="1"/>
    <s v="Comunal"/>
    <s v="Conservación "/>
    <d v="2019-02-06T16:00:00"/>
    <d v="2019-02-06T16:05:00"/>
    <d v="2019-02-06T16:10:00"/>
    <d v="2019-02-06T16:20:00"/>
    <d v="2019-02-06T16:25:00"/>
    <m/>
    <d v="2019-02-06T18:30:00"/>
    <d v="2019-02-06T19:00:00"/>
    <d v="2019-02-06T20:50:00"/>
    <d v="1899-12-30T03:00:00"/>
    <d v="1899-12-30T00:05:00"/>
    <d v="1899-12-30T00:15:00"/>
    <d v="1899-12-30T03:00:00"/>
    <n v="0.15"/>
    <n v="0.25"/>
    <n v="0"/>
    <n v="0"/>
    <n v="0.7"/>
    <n v="0"/>
    <n v="0.2"/>
    <n v="0"/>
    <n v="1.2"/>
    <s v="Rogelio Galeana Martinez"/>
    <n v="1"/>
    <n v="0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92"/>
    <n v="9"/>
    <n v="0"/>
    <n v="3447"/>
    <n v="0"/>
    <n v="3447"/>
    <n v="120.21"/>
    <n v="3567.21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2.13"/>
    <n v="2"/>
    <n v="0"/>
    <n v="0"/>
    <n v="4.13"/>
  </r>
  <r>
    <s v="19-17-0016"/>
    <n v="16"/>
    <d v="2019-02-08T00:00:00"/>
    <d v="2019-02-08T00:00:00"/>
    <s v="1 Día"/>
    <n v="10"/>
    <n v="1"/>
    <x v="4"/>
    <x v="1"/>
    <x v="1"/>
    <s v="Morelos "/>
    <n v="29"/>
    <x v="4"/>
    <s v="Yautepec"/>
    <s v="Basurero"/>
    <s v="Oeste"/>
    <n v="18"/>
    <n v="55"/>
    <n v="2.9"/>
    <n v="99"/>
    <n v="4"/>
    <n v="45.6"/>
    <s v="N 18° 55' 02.90'' W 99° 04' 45.60''"/>
    <n v="1266"/>
    <n v="0"/>
    <n v="0"/>
    <n v="0.45"/>
    <n v="0.45"/>
    <n v="0"/>
    <n v="0"/>
    <n v="0.9"/>
    <n v="165.23000000000002"/>
    <n v="10.326875000000001"/>
    <s v="Fijo"/>
    <s v="CONAFOR"/>
    <x v="3"/>
    <x v="4"/>
    <s v="Comunal"/>
    <s v="Conservación "/>
    <s v="08-feb-15:30"/>
    <s v="08-feb-15:40"/>
    <s v="08-feb-15:45"/>
    <s v="08-feb-16:25"/>
    <s v="08-feb-16:45"/>
    <m/>
    <s v="08-feb-17:30"/>
    <s v="08-feb-18:30"/>
    <s v="08-feb-19:30"/>
    <d v="1899-12-30T03:00:00"/>
    <d v="1899-12-30T00:10:00"/>
    <d v="1899-12-30T00:45:00"/>
    <d v="1899-12-30T03:00:00"/>
    <n v="0.3"/>
    <n v="0.3"/>
    <n v="0"/>
    <n v="0"/>
    <n v="0.4"/>
    <n v="0"/>
    <n v="0.15"/>
    <n v="0.2"/>
    <n v="0"/>
    <s v="Donato Perez Martinez"/>
    <n v="0"/>
    <n v="0"/>
    <n v="0"/>
    <n v="0"/>
    <n v="0"/>
    <n v="0"/>
    <n v="0"/>
    <n v="0"/>
    <s v="Brigada Contingencias"/>
    <n v="0"/>
    <n v="0"/>
    <n v="0"/>
    <n v="0"/>
    <n v="0"/>
    <n v="0"/>
    <n v="0"/>
    <n v="0"/>
    <n v="0"/>
    <n v="0"/>
    <n v="15"/>
    <n v="0"/>
    <n v="0"/>
    <n v="0"/>
    <n v="0"/>
    <n v="0"/>
    <n v="0"/>
    <n v="0"/>
    <n v="0"/>
    <n v="0"/>
    <n v="15"/>
    <n v="207"/>
    <n v="15"/>
    <n v="0"/>
    <n v="0"/>
    <n v="3255"/>
    <n v="3255"/>
    <n v="633"/>
    <n v="3888"/>
    <s v="Sin dato"/>
    <s v="Sin dato"/>
    <s v="Sin dato"/>
    <s v="Sin dato"/>
    <s v="Superficial "/>
    <s v="Minimo"/>
    <s v="Selva Baja Caducifolia "/>
    <s v="SBC"/>
    <s v="Corredor Biológico Chichinautzin "/>
    <s v="No aplica "/>
    <s v="CBC"/>
    <n v="0"/>
    <n v="0"/>
    <n v="0.45"/>
    <n v="0.45"/>
    <n v="0"/>
    <n v="0"/>
    <n v="0.9"/>
  </r>
  <r>
    <s v="19-17-0017"/>
    <n v="17"/>
    <d v="2019-02-09T00:00:00"/>
    <d v="2019-02-09T00:00:00"/>
    <s v="1 Día"/>
    <n v="11"/>
    <n v="1"/>
    <x v="4"/>
    <x v="3"/>
    <x v="1"/>
    <s v="Morelos "/>
    <n v="20"/>
    <x v="1"/>
    <s v="Santa Catarina "/>
    <s v="La Tranca"/>
    <m/>
    <n v="18"/>
    <n v="57"/>
    <n v="47.2"/>
    <n v="99"/>
    <n v="10"/>
    <n v="36.1"/>
    <s v="N 18° 57' 47.20'' W 99° 10' 36.10''"/>
    <n v="1646"/>
    <n v="0"/>
    <n v="0"/>
    <n v="0.4"/>
    <n v="0.5"/>
    <n v="0"/>
    <n v="0"/>
    <n v="0.9"/>
    <n v="166.13000000000002"/>
    <n v="9.7723529411764716"/>
    <s v="Fijo"/>
    <s v="CONAFOR"/>
    <x v="2"/>
    <x v="2"/>
    <s v="Comunal"/>
    <s v="Conservación "/>
    <d v="2019-02-09T15:30:00"/>
    <d v="2019-02-09T15:40:00"/>
    <d v="2019-02-09T15:45:00"/>
    <d v="2019-02-09T16:15:00"/>
    <d v="2019-02-09T16:17:00"/>
    <m/>
    <d v="2019-02-09T17:00:00"/>
    <d v="2019-02-09T17:13:00"/>
    <s v="09-feb-17:13"/>
    <d v="1899-12-30T01:35:00"/>
    <d v="1899-12-30T00:02:00"/>
    <d v="1899-12-30T00:35:00"/>
    <d v="1899-12-30T01:35:00"/>
    <n v="0.06"/>
    <n v="0.03"/>
    <n v="0"/>
    <n v="0"/>
    <n v="0.06"/>
    <n v="0"/>
    <n v="0"/>
    <n v="7.0000000000000007E-2"/>
    <n v="0"/>
    <s v="Teodoro Rea Martinez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6"/>
    <n v="9"/>
    <n v="0"/>
    <n v="3447"/>
    <n v="0"/>
    <n v="3447"/>
    <n v="152"/>
    <n v="3599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.4"/>
    <n v="0.5"/>
    <n v="0"/>
    <n v="0"/>
    <n v="0.9"/>
  </r>
  <r>
    <s v="19-17-0018"/>
    <n v="18"/>
    <d v="2019-02-09T00:00:00"/>
    <d v="2019-02-09T00:00:00"/>
    <s v="1 Día"/>
    <n v="12"/>
    <n v="1"/>
    <x v="4"/>
    <x v="3"/>
    <x v="1"/>
    <s v="Morelos "/>
    <n v="20"/>
    <x v="1"/>
    <s v="Santa Catarina "/>
    <s v="La Tranca"/>
    <s v="Sur"/>
    <n v="18"/>
    <n v="57"/>
    <n v="39.6"/>
    <n v="99"/>
    <n v="10"/>
    <n v="36.299999999999997"/>
    <s v="N 18° 57' 39.60'' W 99° 10' 36.30''"/>
    <n v="1635"/>
    <n v="0"/>
    <n v="0"/>
    <n v="0"/>
    <n v="0.4"/>
    <n v="0"/>
    <n v="0"/>
    <n v="0.4"/>
    <n v="166.53000000000003"/>
    <n v="9.2516666666666687"/>
    <s v="Fijo"/>
    <s v="CONAFOR"/>
    <x v="2"/>
    <x v="2"/>
    <s v="Comunal"/>
    <s v="Conservación "/>
    <d v="2019-02-09T17:05:00"/>
    <d v="2019-02-09T17:10:00"/>
    <d v="2019-02-09T17:13:00"/>
    <d v="2019-02-09T17:20:00"/>
    <d v="2019-02-09T17:21:00"/>
    <m/>
    <d v="2019-02-09T18:00:00"/>
    <d v="2019-02-09T18:10:00"/>
    <d v="2019-02-09T18:40:00"/>
    <d v="1899-12-30T01:05:00"/>
    <d v="1899-12-30T00:05:00"/>
    <d v="1899-12-30T00:10:00"/>
    <d v="1899-12-30T01:05:00"/>
    <n v="0.03"/>
    <n v="0"/>
    <n v="0"/>
    <n v="0"/>
    <n v="3.5000000000000003E-2"/>
    <n v="0"/>
    <n v="0"/>
    <n v="0.06"/>
    <n v="0"/>
    <s v="Teodoro Rea Martinez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25"/>
    <n v="9"/>
    <n v="0"/>
    <n v="3447"/>
    <n v="0"/>
    <n v="3447"/>
    <n v="95"/>
    <n v="3542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"/>
    <n v="0.4"/>
    <n v="0"/>
    <n v="0"/>
    <n v="0.4"/>
  </r>
  <r>
    <s v="19-17-0019"/>
    <n v="19"/>
    <d v="2019-02-10T00:00:00"/>
    <d v="2019-02-10T00:00:00"/>
    <s v="1 Día"/>
    <n v="13"/>
    <n v="1"/>
    <x v="4"/>
    <x v="5"/>
    <x v="1"/>
    <s v="Morelos "/>
    <n v="20"/>
    <x v="1"/>
    <s v="Tepoztlán"/>
    <s v="Amilcingo "/>
    <s v="Norte "/>
    <n v="18"/>
    <n v="57"/>
    <n v="10.92"/>
    <n v="99"/>
    <n v="4"/>
    <n v="58.57"/>
    <s v="N 18° 57' 10.92'' W 99° 04' 58.57''"/>
    <n v="1389"/>
    <n v="0"/>
    <n v="0"/>
    <n v="2.56"/>
    <n v="5"/>
    <n v="0"/>
    <n v="0"/>
    <n v="7.5600000000000005"/>
    <n v="174.09000000000003"/>
    <n v="9.1626315789473693"/>
    <s v="Otros "/>
    <s v="Población Civil"/>
    <x v="3"/>
    <x v="4"/>
    <s v="Comunal"/>
    <s v="Conservación "/>
    <d v="2019-02-10T13:20:00"/>
    <d v="2019-02-10T13:25:00"/>
    <d v="2019-02-10T13:30:00"/>
    <d v="2019-02-10T14:50:00"/>
    <d v="2019-02-10T15:00:00"/>
    <m/>
    <d v="2019-02-10T18:00:00"/>
    <d v="2019-02-10T18:30:00"/>
    <d v="2019-02-10T20:00:00"/>
    <d v="1899-12-30T05:10:00"/>
    <d v="1899-12-30T00:05:00"/>
    <d v="1899-12-30T01:25:00"/>
    <d v="1899-12-30T05:10:00"/>
    <n v="0.5"/>
    <n v="0.8"/>
    <n v="0"/>
    <n v="0"/>
    <n v="0.3"/>
    <n v="0"/>
    <n v="0.2"/>
    <n v="0"/>
    <n v="0"/>
    <s v="Federico Galeana Simeon"/>
    <n v="0"/>
    <n v="1"/>
    <n v="1"/>
    <n v="0"/>
    <n v="0"/>
    <n v="0"/>
    <n v="0"/>
    <n v="0"/>
    <s v="PC Tepoztlán "/>
    <n v="19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23"/>
    <n v="248"/>
    <n v="23"/>
    <n v="0"/>
    <n v="7277"/>
    <n v="868"/>
    <n v="8145"/>
    <n v="665"/>
    <n v="8810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2.56"/>
    <n v="5"/>
    <n v="0"/>
    <n v="0"/>
    <n v="7.5600000000000005"/>
  </r>
  <r>
    <s v="19-17-0020"/>
    <n v="20"/>
    <d v="2019-02-11T00:00:00"/>
    <d v="2019-02-11T00:00:00"/>
    <s v="1 Día"/>
    <n v="14"/>
    <n v="1"/>
    <x v="4"/>
    <x v="6"/>
    <x v="1"/>
    <s v="Morelos "/>
    <n v="23"/>
    <x v="2"/>
    <s v="Tlalnepantla"/>
    <s v="Paso de Leyva "/>
    <m/>
    <n v="19"/>
    <n v="3"/>
    <n v="44.27"/>
    <n v="98"/>
    <n v="58"/>
    <n v="45.34"/>
    <s v="N 19° 03' 44.27'' W 98° 58' 45.34''"/>
    <n v="2793"/>
    <n v="0"/>
    <n v="0"/>
    <n v="0"/>
    <n v="3.79"/>
    <n v="0"/>
    <n v="0"/>
    <n v="3.79"/>
    <n v="177.88000000000002"/>
    <n v="8.8940000000000019"/>
    <s v="Fijo"/>
    <s v="CONAFOR"/>
    <x v="0"/>
    <x v="0"/>
    <s v="Comunal"/>
    <s v="Conservación "/>
    <d v="2019-02-11T08:00:00"/>
    <d v="2019-02-11T08:10:00"/>
    <d v="2019-02-11T08:20:00"/>
    <d v="2019-02-11T11:20:00"/>
    <d v="2019-02-11T11:25:00"/>
    <m/>
    <d v="2019-02-11T14:10:00"/>
    <d v="2019-02-11T14:55:00"/>
    <d v="2019-02-11T18:30:00"/>
    <d v="1899-12-30T06:55:00"/>
    <d v="1899-12-30T00:10:00"/>
    <d v="1899-12-30T03:10:00"/>
    <d v="1899-12-30T06:55:00"/>
    <n v="0.05"/>
    <n v="0.04"/>
    <n v="0"/>
    <n v="0"/>
    <n v="0.2"/>
    <n v="0"/>
    <n v="0"/>
    <n v="0.15"/>
    <n v="0"/>
    <s v="Rogelio Galeana Martinez"/>
    <n v="1"/>
    <n v="0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56"/>
    <n v="8"/>
    <n v="0"/>
    <n v="3064"/>
    <n v="0"/>
    <n v="3064"/>
    <n v="1045"/>
    <n v="4109"/>
    <s v="Sin dato"/>
    <s v="Sin dato"/>
    <s v="Sin dato"/>
    <s v="Sin dato"/>
    <s v="Superficial "/>
    <s v="Minimo"/>
    <s v="Bosque de Pino "/>
    <s v="BP"/>
    <s v="Corredor Biológico Chichinautzin "/>
    <s v="No aplica "/>
    <s v="CBC"/>
    <n v="0"/>
    <n v="0"/>
    <n v="0"/>
    <n v="3.79"/>
    <n v="0"/>
    <n v="0"/>
    <n v="3.79"/>
  </r>
  <r>
    <s v="19-17-0021"/>
    <n v="21"/>
    <d v="2019-02-17T00:00:00"/>
    <d v="2019-02-17T00:00:00"/>
    <s v="1 Día"/>
    <n v="15"/>
    <n v="1"/>
    <x v="5"/>
    <x v="5"/>
    <x v="1"/>
    <s v="Morelos "/>
    <n v="20"/>
    <x v="1"/>
    <s v="Santa Catarina "/>
    <s v="Km 8"/>
    <s v="Sur"/>
    <n v="18"/>
    <n v="58"/>
    <n v="24.23"/>
    <n v="99"/>
    <n v="10"/>
    <n v="44.73"/>
    <s v="N 18° 58' 24.23'' W 99° 10' 44.73''"/>
    <n v="1398"/>
    <n v="0"/>
    <n v="0"/>
    <n v="0.5"/>
    <n v="0"/>
    <n v="0"/>
    <n v="0"/>
    <n v="0.5"/>
    <n v="178.38000000000002"/>
    <n v="8.4942857142857147"/>
    <s v="Fijo"/>
    <s v="CONAFOR"/>
    <x v="2"/>
    <x v="2"/>
    <s v="Comunal"/>
    <s v="Conservación "/>
    <d v="2019-02-17T12:32:00"/>
    <d v="2019-02-17T12:35:00"/>
    <d v="2019-02-17T12:40:00"/>
    <d v="2019-02-17T13:20:00"/>
    <d v="2019-02-17T13:22:00"/>
    <m/>
    <s v="17-feb-14:00"/>
    <d v="2019-02-17T14:10:00"/>
    <d v="2019-02-17T14:30:00"/>
    <d v="1899-12-30T01:38:00"/>
    <d v="1899-12-30T00:03:00"/>
    <d v="1899-12-30T00:45:00"/>
    <d v="1899-12-30T01:38:00"/>
    <n v="0.04"/>
    <n v="0.03"/>
    <n v="0"/>
    <n v="1.4999999999999999E-2"/>
    <n v="0.03"/>
    <n v="0"/>
    <n v="0"/>
    <n v="0"/>
    <n v="0"/>
    <s v="Teodoro Rea Martinez"/>
    <n v="0"/>
    <n v="0"/>
    <n v="0"/>
    <n v="1"/>
    <n v="0"/>
    <n v="0"/>
    <n v="0"/>
    <n v="0"/>
    <s v="PC Tepoztlán "/>
    <n v="1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13"/>
    <n v="269"/>
    <n v="13"/>
    <n v="0"/>
    <n v="3830"/>
    <n v="651"/>
    <n v="4481"/>
    <n v="261.26"/>
    <n v="4742.26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.5"/>
    <n v="0"/>
    <n v="0"/>
    <n v="0"/>
    <n v="0.5"/>
  </r>
  <r>
    <s v="19-17-0022"/>
    <n v="22"/>
    <d v="2019-02-18T00:00:00"/>
    <d v="2019-02-19T00:00:00"/>
    <s v="2 o más Días"/>
    <n v="16"/>
    <n v="1"/>
    <x v="5"/>
    <x v="6"/>
    <x v="1"/>
    <s v="Morelos "/>
    <n v="29"/>
    <x v="4"/>
    <s v="Yautepec"/>
    <s v="Las Torres "/>
    <m/>
    <n v="18"/>
    <n v="51"/>
    <n v="54.3"/>
    <n v="99"/>
    <n v="7"/>
    <n v="8.02"/>
    <s v="N 18° 51' 54.30'' W 99° 07' 08.02''"/>
    <n v="1470"/>
    <n v="0"/>
    <n v="0"/>
    <n v="2"/>
    <n v="1.4"/>
    <n v="0"/>
    <n v="0"/>
    <n v="3.4"/>
    <n v="181.78000000000003"/>
    <n v="8.2627272727272736"/>
    <s v="Fijo"/>
    <s v="CONAFOR"/>
    <x v="2"/>
    <x v="6"/>
    <s v="Comunal"/>
    <s v="Conservación "/>
    <d v="2019-02-18T15:40:00"/>
    <d v="2019-02-18T15:45:00"/>
    <d v="2019-02-18T15:50:00"/>
    <d v="2019-02-18T16:20:00"/>
    <d v="2019-02-18T16:20:00"/>
    <m/>
    <d v="2019-02-19T11:00:00"/>
    <d v="2019-02-19T12:20:00"/>
    <d v="2019-02-19T12:50:00"/>
    <d v="1899-12-30T20:40:00"/>
    <d v="1899-12-30T00:05:00"/>
    <d v="1899-12-30T00:35:00"/>
    <d v="1899-12-30T20:40:00"/>
    <n v="0.3"/>
    <n v="0.7"/>
    <n v="0"/>
    <n v="0"/>
    <n v="0.2"/>
    <n v="0"/>
    <n v="0"/>
    <n v="0.6"/>
    <n v="0"/>
    <s v="Gabriel Flores Alonzo"/>
    <n v="0"/>
    <n v="0"/>
    <n v="0"/>
    <n v="0"/>
    <n v="0"/>
    <n v="0"/>
    <n v="0"/>
    <n v="0"/>
    <s v="Brigada Contingencias"/>
    <n v="0"/>
    <n v="0"/>
    <n v="0"/>
    <n v="0"/>
    <n v="0"/>
    <n v="0"/>
    <n v="0"/>
    <n v="0"/>
    <n v="0"/>
    <n v="0"/>
    <n v="23"/>
    <n v="0"/>
    <n v="0"/>
    <n v="0"/>
    <n v="0"/>
    <n v="0"/>
    <n v="0"/>
    <n v="0"/>
    <n v="0"/>
    <n v="0"/>
    <n v="23"/>
    <n v="292"/>
    <n v="23"/>
    <n v="0"/>
    <n v="0"/>
    <n v="4991"/>
    <n v="4991"/>
    <n v="760"/>
    <n v="5751"/>
    <s v="Sin dato"/>
    <s v="Sin dato"/>
    <s v="Sin dato"/>
    <s v="Sin dato"/>
    <s v="Superficial "/>
    <s v="Minimo"/>
    <s v="Selva Baja Caducifolia "/>
    <s v="SBC"/>
    <s v="Reserva Estatal Sierra Montenegro "/>
    <s v="No aplica "/>
    <s v="RESM"/>
    <n v="0"/>
    <n v="0"/>
    <n v="2"/>
    <n v="1.4"/>
    <n v="0"/>
    <n v="0"/>
    <n v="3.4"/>
  </r>
  <r>
    <s v="19-17-0023"/>
    <n v="23"/>
    <d v="2019-02-18T00:00:00"/>
    <d v="2019-02-18T00:00:00"/>
    <s v="1 Día"/>
    <n v="17"/>
    <n v="1"/>
    <x v="5"/>
    <x v="6"/>
    <x v="1"/>
    <s v="Morelos "/>
    <n v="20"/>
    <x v="1"/>
    <s v="San Juan Tlacotenco"/>
    <s v="Maquilicruz"/>
    <m/>
    <n v="19"/>
    <n v="3"/>
    <n v="7.18"/>
    <n v="99"/>
    <n v="4"/>
    <n v="39.479999999999997"/>
    <s v="N 19° 03' 07.18'' W 99° 04' 39.48''"/>
    <n v="2935"/>
    <n v="0"/>
    <n v="0"/>
    <n v="1"/>
    <n v="3.24"/>
    <n v="0"/>
    <n v="0"/>
    <n v="4.24"/>
    <n v="186.02000000000004"/>
    <n v="8.0878260869565235"/>
    <s v="Fijo"/>
    <s v="CONAFOR"/>
    <x v="0"/>
    <x v="0"/>
    <s v="Comunal"/>
    <s v="Conservación "/>
    <d v="2019-02-18T13:30:00"/>
    <d v="2019-02-18T13:35:00"/>
    <d v="2019-02-18T13:40:00"/>
    <d v="2019-02-18T15:50:00"/>
    <d v="2019-02-18T15:55:00"/>
    <m/>
    <d v="2019-02-18T19:00:00"/>
    <d v="2019-02-18T19:30:00"/>
    <d v="2019-02-18T22:00:00"/>
    <d v="1899-12-30T06:00:00"/>
    <d v="1899-12-30T00:05:00"/>
    <d v="1899-12-30T02:15:00"/>
    <d v="1899-12-30T06:00:00"/>
    <n v="0.35"/>
    <n v="0.4"/>
    <n v="0"/>
    <n v="0"/>
    <n v="0.3"/>
    <n v="0"/>
    <n v="0"/>
    <n v="0"/>
    <n v="0"/>
    <s v="Margarito Rodriguez Rodriguez "/>
    <n v="1"/>
    <n v="0"/>
    <n v="1"/>
    <n v="0"/>
    <n v="0"/>
    <n v="0"/>
    <n v="0"/>
    <n v="0"/>
    <m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310"/>
    <n v="18"/>
    <n v="0"/>
    <n v="6894"/>
    <n v="0"/>
    <n v="6894"/>
    <n v="741"/>
    <n v="7635"/>
    <s v="Sin dato"/>
    <s v="Sin dato"/>
    <s v="Sin dato"/>
    <s v="Sin dato"/>
    <s v="Superficial "/>
    <s v="Minimo"/>
    <s v="Bosque de Pino - Encino "/>
    <s v="BPQ"/>
    <s v="Parque Nacional El Tepozteco "/>
    <s v="No aplica "/>
    <s v="PNTP"/>
    <n v="0"/>
    <n v="0"/>
    <n v="1"/>
    <n v="3.24"/>
    <n v="0"/>
    <n v="0"/>
    <n v="4.24"/>
  </r>
  <r>
    <s v="19-17-0024"/>
    <n v="24"/>
    <d v="2019-02-19T00:00:00"/>
    <d v="2019-02-19T00:00:00"/>
    <s v="1 Día"/>
    <n v="18"/>
    <n v="1"/>
    <x v="5"/>
    <x v="4"/>
    <x v="1"/>
    <s v="Morelos "/>
    <n v="20"/>
    <x v="1"/>
    <s v="San Juan Tlacotenco"/>
    <s v="El Oclayuca "/>
    <s v="Poniente"/>
    <n v="19"/>
    <n v="2"/>
    <n v="53.19"/>
    <n v="99"/>
    <n v="5"/>
    <n v="5.28"/>
    <s v="N 19° 02' 53.19'' W 99° 05' 05.28''"/>
    <n v="2901"/>
    <n v="0"/>
    <n v="0"/>
    <n v="1"/>
    <n v="3.63"/>
    <n v="0"/>
    <n v="0"/>
    <n v="4.63"/>
    <n v="190.65000000000003"/>
    <n v="7.9437500000000014"/>
    <s v="Fijo"/>
    <s v="CONAFOR"/>
    <x v="0"/>
    <x v="0"/>
    <s v="Comunal"/>
    <s v="Conservación "/>
    <d v="2019-02-19T11:40:00"/>
    <d v="2019-02-19T11:45:00"/>
    <d v="2019-02-19T11:50:00"/>
    <d v="2019-02-19T13:50:00"/>
    <d v="2019-02-19T13:55:00"/>
    <m/>
    <d v="2019-02-19T19:00:00"/>
    <d v="2019-02-19T20:00:00"/>
    <d v="2019-02-19T22:00:00"/>
    <d v="1899-12-30T08:20:00"/>
    <d v="1899-12-30T00:05:00"/>
    <d v="1899-12-30T02:05:00"/>
    <d v="1899-12-30T08:20:00"/>
    <n v="0.2"/>
    <n v="0.4"/>
    <n v="0"/>
    <n v="0"/>
    <n v="0.4"/>
    <n v="0"/>
    <n v="0"/>
    <n v="0"/>
    <n v="0"/>
    <s v="Margarito Rodriguez Rodriguez "/>
    <n v="0"/>
    <n v="0"/>
    <n v="1"/>
    <n v="0"/>
    <n v="0"/>
    <n v="0"/>
    <n v="0"/>
    <n v="0"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20"/>
    <n v="10"/>
    <n v="0"/>
    <n v="3830"/>
    <n v="0"/>
    <n v="3830"/>
    <n v="380"/>
    <n v="4210"/>
    <s v="Sin dato"/>
    <s v="Sin dato"/>
    <s v="Sin dato"/>
    <s v="Sin dato"/>
    <s v="Superficial "/>
    <s v="Minimo"/>
    <s v="Bosque de Pino - Encino "/>
    <s v="BPQ"/>
    <s v="Parque Nacional El Tepozteco "/>
    <s v="No aplica "/>
    <s v="PNTP"/>
    <n v="0"/>
    <n v="0"/>
    <n v="1"/>
    <n v="3.63"/>
    <n v="0"/>
    <n v="0"/>
    <n v="4.63"/>
  </r>
  <r>
    <s v="19-17-0025"/>
    <n v="25"/>
    <d v="2019-02-20T00:00:00"/>
    <d v="2019-02-20T00:00:00"/>
    <s v="1 Día"/>
    <n v="19"/>
    <n v="1"/>
    <x v="5"/>
    <x v="0"/>
    <x v="1"/>
    <s v="Morelos "/>
    <n v="9"/>
    <x v="0"/>
    <s v="Huitzilac "/>
    <s v="Fierro del Toro"/>
    <s v="Oriente "/>
    <n v="19"/>
    <n v="5"/>
    <n v="57.4"/>
    <n v="99"/>
    <n v="13"/>
    <n v="57.3"/>
    <s v="N 19° 05' 57.40'' W 99° 13' 57.30''"/>
    <n v="2862"/>
    <n v="0"/>
    <n v="0"/>
    <n v="0"/>
    <n v="0.9"/>
    <n v="0"/>
    <n v="0"/>
    <n v="0.9"/>
    <n v="191.55000000000004"/>
    <n v="7.6620000000000017"/>
    <s v="Fijo"/>
    <s v="CONAFOR"/>
    <x v="0"/>
    <x v="0"/>
    <s v="Comunal"/>
    <s v="Conservación "/>
    <d v="2019-02-20T11:30:00"/>
    <d v="2019-02-20T11:35:00"/>
    <d v="2019-02-20T11:40:00"/>
    <d v="2019-02-20T12:35:00"/>
    <d v="2019-02-20T12:40:00"/>
    <m/>
    <d v="2019-02-20T13:50:00"/>
    <d v="2019-02-20T14:00:00"/>
    <m/>
    <d v="1899-12-30T02:30:00"/>
    <d v="1899-12-30T00:05:00"/>
    <d v="1899-12-30T01:00:00"/>
    <d v="1899-12-30T02:30:00"/>
    <n v="0.1"/>
    <n v="0.2"/>
    <n v="0"/>
    <n v="0"/>
    <n v="0.27"/>
    <n v="0"/>
    <n v="0"/>
    <n v="0.7"/>
    <n v="0"/>
    <s v="Rogelio Galeana Martinez"/>
    <n v="1"/>
    <n v="0"/>
    <n v="0"/>
    <n v="0"/>
    <n v="0"/>
    <n v="0"/>
    <n v="0"/>
    <n v="0"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26"/>
    <n v="6"/>
    <n v="0"/>
    <n v="2298"/>
    <n v="0"/>
    <n v="2298"/>
    <n v="228"/>
    <n v="2526"/>
    <s v="Sin dato"/>
    <s v="Sin dato"/>
    <s v="Sin dato"/>
    <s v="Sin dato"/>
    <s v="Superficial "/>
    <s v="Minimo"/>
    <s v="Bosque de Pino "/>
    <s v="BP"/>
    <s v="Corredor Biológico Chichinautzin "/>
    <s v="No aplica "/>
    <s v="CBC"/>
    <n v="0"/>
    <n v="0"/>
    <n v="0"/>
    <n v="0.9"/>
    <n v="0"/>
    <n v="0"/>
    <n v="0.9"/>
  </r>
  <r>
    <s v="19-17-0026"/>
    <n v="26"/>
    <d v="2019-02-20T00:00:00"/>
    <d v="2019-02-20T00:00:00"/>
    <s v="1 Día"/>
    <n v="20"/>
    <n v="1"/>
    <x v="5"/>
    <x v="0"/>
    <x v="1"/>
    <s v="Morelos "/>
    <n v="9"/>
    <x v="0"/>
    <s v="Huitzilac "/>
    <s v="La Cruz "/>
    <m/>
    <n v="19"/>
    <n v="1"/>
    <n v="52.4"/>
    <n v="99"/>
    <n v="16"/>
    <n v="56.4"/>
    <s v="N 19° 01' 52.40'' W 99° 16' 56.40''"/>
    <n v="2864"/>
    <n v="0"/>
    <n v="0"/>
    <n v="0"/>
    <n v="0.8"/>
    <n v="0"/>
    <n v="0"/>
    <n v="0.8"/>
    <n v="192.35000000000005"/>
    <n v="7.3980769230769248"/>
    <s v="Fijo"/>
    <s v="CONAFOR"/>
    <x v="4"/>
    <x v="7"/>
    <s v="Comunal"/>
    <s v="Conservación "/>
    <d v="2019-02-20T14:15:00"/>
    <d v="2019-02-20T14:20:00"/>
    <d v="2019-02-20T14:25:00"/>
    <d v="2019-02-20T15:25:00"/>
    <d v="2019-02-20T15:30:00"/>
    <m/>
    <d v="2019-02-20T17:00:00"/>
    <d v="2019-02-20T18:40:00"/>
    <d v="2019-02-20T21:00:00"/>
    <d v="1899-12-30T04:25:00"/>
    <d v="1899-12-30T00:05:00"/>
    <d v="1899-12-30T01:05:00"/>
    <d v="1899-12-30T04:25:00"/>
    <n v="0.25"/>
    <n v="0.35"/>
    <n v="0"/>
    <n v="0"/>
    <n v="0.08"/>
    <n v="0"/>
    <n v="0.06"/>
    <n v="0.6"/>
    <n v="0"/>
    <s v="Rogelio Galeana Martinez"/>
    <n v="1"/>
    <n v="0"/>
    <n v="0"/>
    <n v="0"/>
    <n v="0"/>
    <n v="0"/>
    <n v="0"/>
    <n v="0"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32"/>
    <n v="6"/>
    <n v="0"/>
    <n v="2298"/>
    <n v="0"/>
    <n v="2298"/>
    <n v="190"/>
    <n v="2488"/>
    <s v="Sin dato"/>
    <s v="Sin dato"/>
    <s v="Sin dato"/>
    <s v="Sin dato"/>
    <s v="Superficial "/>
    <s v="Minimo"/>
    <s v="Bosque Mesofilo"/>
    <s v="BM"/>
    <s v="Corredor Biológico Chichinautzin "/>
    <s v="No aplica "/>
    <s v="CBC"/>
    <n v="0"/>
    <n v="0"/>
    <n v="0"/>
    <n v="0.8"/>
    <n v="0"/>
    <n v="0"/>
    <n v="0.8"/>
  </r>
  <r>
    <s v="19-17-0027"/>
    <n v="27"/>
    <d v="2019-02-21T00:00:00"/>
    <d v="2019-02-21T00:00:00"/>
    <s v="1 Día"/>
    <n v="21"/>
    <n v="1"/>
    <x v="5"/>
    <x v="2"/>
    <x v="1"/>
    <s v="Morelos "/>
    <n v="20"/>
    <x v="1"/>
    <s v="Amatlan"/>
    <s v="Guayavillos"/>
    <m/>
    <n v="18"/>
    <n v="57"/>
    <n v="25.83"/>
    <n v="99"/>
    <n v="3"/>
    <n v="7.65"/>
    <s v="N 18° 57' 25.83'' W 99° 03' 07.65''"/>
    <n v="1589"/>
    <n v="0"/>
    <n v="0"/>
    <n v="6.44"/>
    <n v="10"/>
    <n v="0"/>
    <n v="0"/>
    <n v="16.440000000000001"/>
    <n v="208.79000000000005"/>
    <n v="7.732962962962965"/>
    <s v="Fijo"/>
    <s v="Municipios"/>
    <x v="3"/>
    <x v="3"/>
    <s v="Comunal"/>
    <s v="Conservación "/>
    <s v="21-feb-11:40"/>
    <s v="21-feb-11:45"/>
    <s v="21-feb-11:50"/>
    <s v="21-feb-12:55"/>
    <s v="21-feb-13:00"/>
    <m/>
    <s v="21-feb-17:00"/>
    <s v="21-feb-17:30"/>
    <s v="21-feb-19:00"/>
    <d v="1899-12-30T05:50:00"/>
    <d v="1899-12-30T00:05:00"/>
    <d v="1899-12-30T01:10:00"/>
    <d v="1899-12-30T05:50:00"/>
    <n v="1"/>
    <n v="0.8"/>
    <n v="0"/>
    <n v="0.8"/>
    <n v="1.5"/>
    <n v="0"/>
    <n v="0"/>
    <n v="1.5"/>
    <n v="0"/>
    <s v="Federico Galeana Simeon"/>
    <n v="0"/>
    <n v="1"/>
    <n v="0"/>
    <n v="0"/>
    <n v="0"/>
    <n v="0"/>
    <n v="0"/>
    <n v="0"/>
    <s v="PC Tepoztlán "/>
    <n v="7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11"/>
    <n v="343"/>
    <n v="11"/>
    <n v="0"/>
    <n v="2681"/>
    <n v="868"/>
    <n v="3549"/>
    <n v="441"/>
    <n v="3990"/>
    <s v="Sin dato"/>
    <s v="Sin dato"/>
    <s v="Sin dato"/>
    <s v="Sin dato"/>
    <s v="Superficial "/>
    <s v="Minimo"/>
    <s v="Selva Baja Caducifolia "/>
    <s v="SBC"/>
    <s v="Corredor Biológico Chichinautzin "/>
    <s v="No aplica "/>
    <s v="CBC"/>
    <n v="0"/>
    <n v="0"/>
    <n v="0"/>
    <n v="0.63"/>
    <n v="0"/>
    <n v="0"/>
    <n v="0.63"/>
  </r>
  <r>
    <s v="19-17-0028"/>
    <n v="28"/>
    <d v="2019-02-21T00:00:00"/>
    <d v="2019-02-21T00:00:00"/>
    <s v="1 Día"/>
    <n v="22"/>
    <n v="1"/>
    <x v="5"/>
    <x v="2"/>
    <x v="1"/>
    <s v="Morelos "/>
    <n v="20"/>
    <x v="1"/>
    <s v="Santa Catarina "/>
    <s v="Texilacca"/>
    <m/>
    <n v="18"/>
    <n v="57"/>
    <n v="8.8000000000000007"/>
    <n v="99"/>
    <n v="10"/>
    <n v="31.1"/>
    <s v="N 18° 57' 08.80'' W 99° 10' 31.10''"/>
    <n v="1601"/>
    <n v="0"/>
    <n v="0"/>
    <n v="0.9"/>
    <n v="0"/>
    <n v="0"/>
    <n v="0"/>
    <n v="0.9"/>
    <n v="209.69000000000005"/>
    <n v="7.4889285714285734"/>
    <s v="Fijo"/>
    <s v="CONAFOR"/>
    <x v="2"/>
    <x v="2"/>
    <s v="Comunal"/>
    <s v="Conservación "/>
    <s v="21-feb-13:30"/>
    <s v="21-feb-13:32"/>
    <s v="21-feb-13:35"/>
    <s v="21-feb-14:00"/>
    <s v="21-feb-14:05"/>
    <m/>
    <s v="21-feb-15:30"/>
    <s v="21-feb-16:10"/>
    <m/>
    <d v="1899-12-30T02:40:00"/>
    <d v="1899-12-30T00:02:00"/>
    <d v="1899-12-30T00:28:00"/>
    <d v="1899-12-30T02:40:00"/>
    <n v="0.1"/>
    <n v="0.5"/>
    <n v="0"/>
    <n v="0"/>
    <n v="0.1"/>
    <n v="0"/>
    <n v="0.1"/>
    <n v="0.5"/>
    <n v="0"/>
    <s v="Jesus Fermin Martinez Sanchez"/>
    <n v="0"/>
    <n v="0"/>
    <n v="0"/>
    <n v="1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51"/>
    <n v="8"/>
    <n v="0"/>
    <n v="3064"/>
    <n v="0"/>
    <n v="3064"/>
    <n v="160.72"/>
    <n v="3224.72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.9"/>
    <n v="0"/>
    <n v="0"/>
    <n v="0"/>
    <n v="0.9"/>
  </r>
  <r>
    <s v="19-17-0029"/>
    <n v="29"/>
    <d v="2019-02-21T00:00:00"/>
    <d v="2019-02-22T00:00:00"/>
    <s v="2 o más Días"/>
    <n v="23"/>
    <n v="1"/>
    <x v="5"/>
    <x v="2"/>
    <x v="1"/>
    <s v="Morelos "/>
    <n v="9"/>
    <x v="0"/>
    <s v="Huitzilac "/>
    <s v="Cruz del Niño"/>
    <s v="Norte "/>
    <n v="19"/>
    <n v="4"/>
    <n v="19.29"/>
    <n v="99"/>
    <n v="16"/>
    <n v="10.06"/>
    <s v="N 19° 04' 19.29'' W 99° 16' 10.06''"/>
    <n v="2865"/>
    <n v="0"/>
    <n v="0"/>
    <n v="5.76"/>
    <n v="14"/>
    <n v="0"/>
    <n v="0"/>
    <n v="19.759999999999998"/>
    <n v="229.45000000000005"/>
    <n v="7.9120689655172427"/>
    <s v="Fijo"/>
    <s v="Municipios"/>
    <x v="0"/>
    <x v="0"/>
    <s v="Comunal"/>
    <s v="Conservación "/>
    <s v="21-feb-16:00"/>
    <s v="21-feb-16:05"/>
    <s v="21-feb-16:10"/>
    <s v="21-feb-17:30"/>
    <s v="21-feb-17:40"/>
    <s v="22-feb-08:55"/>
    <s v="22-feb-11:30"/>
    <s v="22-feb-13:30"/>
    <s v="22-feb-14:50"/>
    <d v="1899-12-30T21:30:00"/>
    <d v="1899-12-30T00:05:00"/>
    <d v="1899-12-30T01:25:00"/>
    <d v="1899-12-30T21:30:00"/>
    <n v="0"/>
    <n v="1"/>
    <n v="0"/>
    <n v="0"/>
    <n v="1.5"/>
    <n v="0"/>
    <n v="0"/>
    <n v="2.5"/>
    <n v="0"/>
    <s v="Federico Galeana Simeon"/>
    <n v="0"/>
    <n v="1"/>
    <n v="0"/>
    <n v="1"/>
    <n v="0"/>
    <n v="0"/>
    <n v="0"/>
    <n v="0"/>
    <s v="PC Huitzilac "/>
    <n v="16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21"/>
    <n v="372"/>
    <n v="21"/>
    <n v="0"/>
    <n v="6128"/>
    <n v="1085"/>
    <n v="7213"/>
    <n v="380.24"/>
    <n v="7593.24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5.76"/>
    <n v="14"/>
    <n v="0"/>
    <n v="0"/>
    <n v="19.759999999999998"/>
  </r>
  <r>
    <s v="19-17-0030"/>
    <n v="30"/>
    <d v="2019-02-22T00:00:00"/>
    <d v="2019-02-22T00:00:00"/>
    <s v="1 Día"/>
    <n v="24"/>
    <n v="1"/>
    <x v="6"/>
    <x v="1"/>
    <x v="1"/>
    <s v="Morelos "/>
    <n v="29"/>
    <x v="4"/>
    <s v="Yautepec"/>
    <s v="Gasera "/>
    <s v="Norte "/>
    <n v="18"/>
    <n v="51"/>
    <n v="32.76"/>
    <n v="99"/>
    <n v="6"/>
    <n v="28.99"/>
    <s v="N 18° 51' 32.76'' W 99° 06' 28.99''"/>
    <n v="1225"/>
    <n v="0"/>
    <n v="0"/>
    <n v="3.35"/>
    <n v="0"/>
    <n v="0"/>
    <n v="0"/>
    <n v="3.35"/>
    <n v="232.80000000000004"/>
    <n v="7.7600000000000016"/>
    <s v="Fijo"/>
    <s v="CONAFOR"/>
    <x v="2"/>
    <x v="2"/>
    <s v="Comunal"/>
    <s v="Conservación "/>
    <s v="22-feb-13:05"/>
    <s v="22-feb-13:10"/>
    <s v="22-feb-13:15"/>
    <s v="22-feb-14:00"/>
    <s v="22-feb-14:15"/>
    <m/>
    <s v="22-feb-16:00"/>
    <s v="22-feb-17:15"/>
    <s v="22-feb-19:15"/>
    <d v="1899-12-30T04:10:00"/>
    <d v="1899-12-30T00:05:00"/>
    <d v="1899-12-30T00:50:00"/>
    <d v="1899-12-30T04:10:00"/>
    <n v="0.1"/>
    <n v="0.15"/>
    <n v="0"/>
    <n v="0"/>
    <n v="0.1"/>
    <n v="0"/>
    <n v="0"/>
    <n v="0.15"/>
    <n v="0"/>
    <s v="Hesiquio Antonino Rios Ortega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81"/>
    <n v="9"/>
    <n v="0"/>
    <n v="3447"/>
    <n v="0"/>
    <n v="3447"/>
    <n v="299.2"/>
    <n v="3746.2"/>
    <s v="Sin dato"/>
    <s v="Sin dato"/>
    <s v="Sin dato"/>
    <s v="Sin dato"/>
    <s v="Superficial "/>
    <s v="Minimo"/>
    <s v="Selva Baja Caducifolia "/>
    <s v="SBC"/>
    <s v="Reserva Estatal Sierra Montenegro "/>
    <s v="No aplica "/>
    <s v="RESM"/>
    <n v="0"/>
    <n v="0"/>
    <n v="0.73"/>
    <n v="0"/>
    <n v="0"/>
    <n v="0"/>
    <n v="0.73"/>
  </r>
  <r>
    <s v="19-17-0031"/>
    <n v="31"/>
    <d v="2019-02-22T00:00:00"/>
    <d v="2019-02-22T00:00:00"/>
    <s v="1 Día"/>
    <n v="25"/>
    <n v="1"/>
    <x v="6"/>
    <x v="1"/>
    <x v="1"/>
    <s v="Morelos "/>
    <n v="20"/>
    <x v="1"/>
    <s v="Santa Catarina "/>
    <s v="Milpillas"/>
    <m/>
    <n v="18"/>
    <n v="57"/>
    <n v="10.3"/>
    <n v="99"/>
    <n v="10"/>
    <n v="27.7"/>
    <s v="N 18° 57' 10.30'' W 99° 10' 27.70''"/>
    <n v="1608"/>
    <n v="0"/>
    <n v="0"/>
    <n v="0.5"/>
    <n v="0.4"/>
    <n v="0"/>
    <n v="0"/>
    <n v="0.9"/>
    <n v="233.70000000000005"/>
    <n v="7.538709677419356"/>
    <s v="Fijo"/>
    <s v="CONAFOR"/>
    <x v="2"/>
    <x v="2"/>
    <s v="Comunal"/>
    <s v="Conservación "/>
    <s v="22-feb-14:10"/>
    <s v="22-feb-14:20"/>
    <s v="22-feb-14:25"/>
    <s v="22-feb-15:15"/>
    <s v="22-feb-15:20"/>
    <m/>
    <s v="22-feb-16:20"/>
    <s v="22-feb-17:00"/>
    <s v="22-feb-17:50"/>
    <d v="1899-12-30T02:50:00"/>
    <d v="1899-12-30T00:10:00"/>
    <d v="1899-12-30T00:55:00"/>
    <d v="1899-12-30T02:50:00"/>
    <n v="0.2"/>
    <n v="0.1"/>
    <n v="0"/>
    <n v="0"/>
    <n v="0.1"/>
    <n v="0"/>
    <n v="0.1"/>
    <n v="0.2"/>
    <n v="0"/>
    <s v="Donato Perez Martinez"/>
    <n v="0"/>
    <n v="0"/>
    <n v="0"/>
    <n v="0"/>
    <n v="0"/>
    <n v="0"/>
    <n v="0"/>
    <n v="0"/>
    <s v="Brigada Contingencias"/>
    <n v="0"/>
    <n v="0"/>
    <n v="0"/>
    <n v="0"/>
    <n v="0"/>
    <n v="0"/>
    <n v="0"/>
    <n v="0"/>
    <n v="0"/>
    <n v="0"/>
    <n v="12"/>
    <n v="0"/>
    <n v="0"/>
    <n v="0"/>
    <n v="0"/>
    <n v="0"/>
    <n v="0"/>
    <n v="0"/>
    <n v="0"/>
    <n v="0"/>
    <n v="12"/>
    <n v="393"/>
    <n v="12"/>
    <n v="0"/>
    <n v="0"/>
    <n v="2604"/>
    <n v="2604"/>
    <n v="344.96"/>
    <n v="2948.96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.5"/>
    <n v="0.4"/>
    <n v="0"/>
    <n v="0"/>
    <n v="0.9"/>
  </r>
  <r>
    <s v="19-17-0032"/>
    <n v="32"/>
    <d v="2019-02-23T00:00:00"/>
    <d v="2019-02-23T00:00:00"/>
    <s v="1 Día"/>
    <n v="26"/>
    <n v="1"/>
    <x v="6"/>
    <x v="3"/>
    <x v="1"/>
    <s v="Morelos "/>
    <n v="23"/>
    <x v="2"/>
    <s v="Tlalnepantla"/>
    <s v="Tecsaloca"/>
    <m/>
    <n v="19"/>
    <n v="1"/>
    <n v="44.4"/>
    <n v="99"/>
    <n v="0"/>
    <n v="53.7"/>
    <s v="N 19° 01' 44.40'' W 99° 00' 53.70''"/>
    <n v="2495"/>
    <n v="0"/>
    <n v="0"/>
    <n v="0"/>
    <n v="0.9"/>
    <n v="0"/>
    <n v="0"/>
    <n v="0.9"/>
    <n v="234.60000000000005"/>
    <n v="7.3312500000000016"/>
    <s v="Fijo"/>
    <s v="Municipios"/>
    <x v="0"/>
    <x v="0"/>
    <s v="Comunal"/>
    <s v="Conservación "/>
    <s v="23-feb-12:30"/>
    <s v="23-feb-12:35"/>
    <s v="23-feb-12:40"/>
    <s v="23-feb-15:00"/>
    <s v="23-feb-15:10"/>
    <m/>
    <s v="23-feb-17:00"/>
    <s v="23-feb-17:30"/>
    <s v="23-feb-21:00"/>
    <d v="1899-12-30T05:00:00"/>
    <d v="1899-12-30T00:05:00"/>
    <d v="1899-12-30T02:25:00"/>
    <d v="1899-12-30T05:00:00"/>
    <n v="0.2"/>
    <n v="0"/>
    <n v="0"/>
    <n v="0"/>
    <n v="0"/>
    <n v="0"/>
    <n v="0.3"/>
    <n v="0.3"/>
    <n v="0"/>
    <s v="Federico Galeana Simeon"/>
    <n v="0"/>
    <n v="1"/>
    <n v="0"/>
    <n v="0"/>
    <n v="0"/>
    <n v="0"/>
    <n v="0"/>
    <n v="0"/>
    <s v="Pc de Tlalnepantla"/>
    <n v="8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12"/>
    <n v="405"/>
    <n v="12"/>
    <n v="0"/>
    <n v="3064"/>
    <n v="868"/>
    <n v="3932"/>
    <n v="840.18"/>
    <n v="4772.18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0"/>
    <n v="0.9"/>
    <n v="0"/>
    <n v="0"/>
    <n v="0.9"/>
  </r>
  <r>
    <s v="19-17-0033"/>
    <n v="33"/>
    <d v="2019-02-23T00:00:00"/>
    <d v="2019-02-23T00:00:00"/>
    <s v="1 Día"/>
    <n v="27"/>
    <n v="1"/>
    <x v="6"/>
    <x v="3"/>
    <x v="1"/>
    <s v="Morelos "/>
    <n v="23"/>
    <x v="2"/>
    <s v="Tlalnepantla"/>
    <s v="Oclayuca"/>
    <s v="Norte "/>
    <n v="19"/>
    <n v="3"/>
    <n v="39.6"/>
    <n v="99"/>
    <n v="3"/>
    <n v="6.1"/>
    <s v="N 19° 03' 39.60'' W 99° 03' 06.10''"/>
    <n v="3043"/>
    <n v="0"/>
    <n v="5"/>
    <n v="0"/>
    <n v="62.08"/>
    <n v="0"/>
    <n v="0"/>
    <n v="67.08"/>
    <n v="301.68000000000006"/>
    <n v="9.1418181818181843"/>
    <s v="Fijo"/>
    <s v="CONAFOR"/>
    <x v="0"/>
    <x v="0"/>
    <s v="Comunal"/>
    <s v="Conservación "/>
    <s v="23-feb-11:10"/>
    <s v="23-feb-11:15"/>
    <s v="23-feb-11:20"/>
    <s v="23-feb-14:00"/>
    <s v="23-feb-14:05"/>
    <m/>
    <s v="23-feb-17:00"/>
    <s v="23-feb-19:00"/>
    <s v="23-feb-22:00"/>
    <d v="1899-12-30T07:50:00"/>
    <d v="1899-12-30T00:05:00"/>
    <d v="1899-12-30T02:45:00"/>
    <d v="1899-12-30T07:50:00"/>
    <n v="2"/>
    <n v="3"/>
    <n v="0"/>
    <n v="0"/>
    <n v="1"/>
    <n v="0"/>
    <n v="0"/>
    <n v="4"/>
    <n v="0"/>
    <s v="Margarito Rodriguez Rodriguez "/>
    <n v="0"/>
    <n v="0"/>
    <n v="1"/>
    <n v="0"/>
    <n v="0"/>
    <n v="0"/>
    <n v="0"/>
    <n v="0"/>
    <s v=" Municipal (Milpa Alta)"/>
    <n v="10"/>
    <n v="0"/>
    <n v="0"/>
    <n v="0"/>
    <n v="0"/>
    <n v="0"/>
    <n v="0"/>
    <n v="0"/>
    <n v="0"/>
    <n v="0"/>
    <n v="0"/>
    <n v="0"/>
    <n v="25"/>
    <n v="0"/>
    <n v="0"/>
    <n v="0"/>
    <n v="0"/>
    <n v="0"/>
    <n v="0"/>
    <n v="0"/>
    <n v="35"/>
    <n v="440"/>
    <n v="35"/>
    <n v="0"/>
    <n v="3830"/>
    <n v="5425"/>
    <n v="9255"/>
    <n v="423.36"/>
    <n v="9678.36"/>
    <s v="Sin dato"/>
    <s v="Sin dato"/>
    <s v="Sin dato"/>
    <s v="Sin dato"/>
    <s v="Superficial "/>
    <s v="Minimo"/>
    <s v="Bosque de Encino - Pino"/>
    <s v="BQP"/>
    <s v="Parque Nacional El Tepozteco "/>
    <s v="No aplica "/>
    <s v="PNTP"/>
    <n v="0"/>
    <n v="5"/>
    <n v="0"/>
    <n v="62.08"/>
    <n v="0"/>
    <n v="0"/>
    <n v="67.08"/>
  </r>
  <r>
    <s v="19-17-0034"/>
    <n v="34"/>
    <d v="2019-02-23T00:00:00"/>
    <d v="2019-02-23T00:00:00"/>
    <s v="1 Día"/>
    <n v="28"/>
    <n v="1"/>
    <x v="6"/>
    <x v="3"/>
    <x v="1"/>
    <s v="Morelos "/>
    <n v="9"/>
    <x v="0"/>
    <s v="Huitzilac "/>
    <s v="Arenal"/>
    <s v="Oriente "/>
    <n v="19"/>
    <n v="7"/>
    <n v="12.7"/>
    <n v="99"/>
    <n v="17"/>
    <n v="45.3"/>
    <s v="N 19° 07' 12.70'' W 99° 17' 45.30''"/>
    <n v="3184"/>
    <n v="0"/>
    <n v="0"/>
    <n v="0.5"/>
    <n v="0.4"/>
    <n v="0"/>
    <n v="0"/>
    <n v="0.9"/>
    <n v="302.58000000000004"/>
    <n v="8.8994117647058832"/>
    <s v="Fijo"/>
    <s v="Central 44"/>
    <x v="0"/>
    <x v="0"/>
    <s v="Comunal"/>
    <s v="Conservación "/>
    <s v="23-feb-12:20"/>
    <s v="23-feb-12:25"/>
    <s v="23-feb-12:28"/>
    <s v="23-feb-14:30"/>
    <s v="23-feb-14:35"/>
    <m/>
    <s v="23-feb17:00"/>
    <s v="23-feb-17:30"/>
    <m/>
    <d v="1899-12-30T05:10:00"/>
    <d v="1899-12-30T00:05:00"/>
    <d v="1899-12-30T02:05:00"/>
    <d v="1899-12-30T05:10:00"/>
    <n v="0.1"/>
    <n v="0.04"/>
    <n v="0"/>
    <n v="0"/>
    <n v="0.1"/>
    <n v="0"/>
    <n v="7.0000000000000007E-2"/>
    <n v="0.06"/>
    <n v="0"/>
    <s v="Teodoro Rea Martinez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49"/>
    <n v="9"/>
    <n v="0"/>
    <n v="3447"/>
    <n v="0"/>
    <n v="3447"/>
    <n v="410.29"/>
    <n v="3857.29"/>
    <s v="Sin dato"/>
    <s v="Sin dato"/>
    <s v="Sin dato"/>
    <s v="Sin dato"/>
    <s v="Superficial "/>
    <s v="Minimo"/>
    <s v="Bosque de Oyamel"/>
    <s v="BA"/>
    <s v="Fuera ANP"/>
    <s v="No aplica "/>
    <s v="FANP"/>
    <n v="0"/>
    <n v="0"/>
    <n v="0"/>
    <n v="0"/>
    <n v="0"/>
    <n v="0"/>
    <n v="0"/>
  </r>
  <r>
    <s v="19-17-0035"/>
    <n v="35"/>
    <d v="2019-02-23T00:00:00"/>
    <d v="2019-02-23T00:00:00"/>
    <s v="1 Día"/>
    <n v="29"/>
    <n v="1"/>
    <x v="6"/>
    <x v="3"/>
    <x v="1"/>
    <s v="Morelos "/>
    <n v="9"/>
    <x v="0"/>
    <s v="Huitzilac "/>
    <s v="Potreritos"/>
    <s v="Nor - Poniente "/>
    <n v="19"/>
    <n v="6"/>
    <n v="56.7"/>
    <n v="99"/>
    <n v="17"/>
    <n v="55.8"/>
    <s v="N 19° 06' 56.70'' W 99° 17' 55.80''"/>
    <n v="3146"/>
    <n v="0"/>
    <n v="0"/>
    <n v="0.3"/>
    <n v="0.5"/>
    <n v="0"/>
    <n v="0"/>
    <n v="0.8"/>
    <n v="303.38000000000005"/>
    <n v="8.668000000000001"/>
    <s v="Fijo"/>
    <s v="Central 44"/>
    <x v="0"/>
    <x v="0"/>
    <s v="Comunal"/>
    <s v="Conservación "/>
    <s v="23-feb-17:22"/>
    <s v="23-feb-17:25"/>
    <s v="23-feb-17:30"/>
    <s v="23-feb-17:40"/>
    <s v="23-feb-17:45"/>
    <m/>
    <s v="23-feb-19:00"/>
    <s v="23-feb-20:08"/>
    <s v="23-feb-21:00"/>
    <d v="1899-12-30T02:46:00"/>
    <d v="1899-12-30T00:03:00"/>
    <d v="1899-12-30T00:15:00"/>
    <d v="1899-12-30T02:46:00"/>
    <n v="0.03"/>
    <n v="7.0000000000000007E-2"/>
    <n v="0"/>
    <n v="0"/>
    <n v="0.05"/>
    <n v="0"/>
    <n v="0.04"/>
    <n v="0.05"/>
    <n v="0"/>
    <s v="Teodoro Rea Martinez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58"/>
    <n v="9"/>
    <n v="0"/>
    <n v="3447"/>
    <n v="0"/>
    <n v="3447"/>
    <n v="392"/>
    <n v="3839"/>
    <s v="Sin dato"/>
    <s v="Sin dato"/>
    <s v="Sin dato"/>
    <s v="Sin dato"/>
    <s v="Superficial "/>
    <s v="Minimo"/>
    <s v="Bosque de Pino "/>
    <s v="BP"/>
    <s v="Corredor Biológico Chichinautzin "/>
    <s v="No aplica "/>
    <s v="CBC"/>
    <n v="0"/>
    <n v="0"/>
    <n v="0.3"/>
    <n v="0.5"/>
    <n v="0"/>
    <n v="0"/>
    <n v="0.8"/>
  </r>
  <r>
    <s v="19-17-0036"/>
    <n v="36"/>
    <d v="2019-02-24T00:00:00"/>
    <d v="2019-02-24T00:00:00"/>
    <s v="1 Día"/>
    <n v="30"/>
    <n v="1"/>
    <x v="6"/>
    <x v="5"/>
    <x v="1"/>
    <s v="Morelos "/>
    <n v="9"/>
    <x v="0"/>
    <s v="Huitzilac "/>
    <s v="Loma Larga"/>
    <s v="Sur"/>
    <n v="19"/>
    <n v="5"/>
    <n v="37.799999999999997"/>
    <n v="99"/>
    <n v="12"/>
    <n v="35.1"/>
    <s v="N 19° 05' 37.80'' W 99° 12' 35.10''"/>
    <n v="2997"/>
    <n v="0"/>
    <n v="0"/>
    <n v="0"/>
    <n v="0.98"/>
    <n v="0"/>
    <n v="0"/>
    <n v="0.98"/>
    <n v="304.36000000000007"/>
    <n v="8.4544444444444462"/>
    <s v="Fijo"/>
    <s v="Central 44"/>
    <x v="1"/>
    <x v="1"/>
    <s v="Comunal"/>
    <s v="Conservación "/>
    <s v="24-feb-09:15"/>
    <s v="24-feb-09:20"/>
    <s v="24-feb-09:35"/>
    <s v="24-feb-10:40"/>
    <s v="24-feb-10:45"/>
    <m/>
    <s v="24-feb-12:00"/>
    <s v="24-feb-12:30"/>
    <s v="24-feb-13:30"/>
    <d v="1899-12-30T03:15:00"/>
    <d v="1899-12-30T00:15:00"/>
    <d v="1899-12-30T01:20:00"/>
    <d v="1899-12-30T03:15:00"/>
    <n v="0.3"/>
    <n v="0.27"/>
    <n v="0.1"/>
    <n v="0"/>
    <n v="0.06"/>
    <n v="0"/>
    <n v="0.4"/>
    <n v="0.8"/>
    <n v="0"/>
    <s v="Rogelio Galeana Martinez"/>
    <n v="1"/>
    <n v="0"/>
    <n v="0"/>
    <n v="0"/>
    <n v="0"/>
    <n v="0"/>
    <n v="0"/>
    <n v="0"/>
    <s v="Corena"/>
    <n v="8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18"/>
    <n v="476"/>
    <n v="18"/>
    <n v="0"/>
    <n v="3064"/>
    <n v="2170"/>
    <n v="5234"/>
    <n v="285"/>
    <n v="5519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0"/>
    <n v="0.98"/>
    <n v="0"/>
    <n v="0"/>
    <n v="0.98"/>
  </r>
  <r>
    <s v="19-17-0037"/>
    <n v="37"/>
    <d v="2019-02-24T00:00:00"/>
    <d v="2019-02-24T00:00:00"/>
    <s v="1 Día"/>
    <n v="31"/>
    <n v="1"/>
    <x v="6"/>
    <x v="5"/>
    <x v="1"/>
    <s v="Morelos "/>
    <n v="20"/>
    <x v="1"/>
    <s v="Santa Catarina "/>
    <s v=" Km 8"/>
    <s v="Sur"/>
    <n v="18"/>
    <n v="57"/>
    <n v="56.1"/>
    <n v="99"/>
    <n v="10"/>
    <n v="35"/>
    <s v="N 18° 57' 56.10'' W 99° 10' 35.00''"/>
    <n v="1668"/>
    <n v="0"/>
    <n v="0"/>
    <n v="0"/>
    <n v="0.9"/>
    <n v="0"/>
    <n v="0"/>
    <n v="0.9"/>
    <n v="305.26000000000005"/>
    <n v="8.2502702702702724"/>
    <s v="Fijo"/>
    <s v="CONAFOR"/>
    <x v="2"/>
    <x v="2"/>
    <s v="Comunal"/>
    <s v="Conservación "/>
    <s v="24-feb-14:30"/>
    <s v="24-feb-14:35"/>
    <s v="24-feb-14:40"/>
    <s v="24-feb-15:30"/>
    <s v="24-feb-15:35"/>
    <m/>
    <s v="24-feb16:30"/>
    <s v="24-feb17:00"/>
    <s v="24-feb-18:00"/>
    <d v="1899-12-30T02:30:00"/>
    <d v="1899-12-30T00:05:00"/>
    <d v="1899-12-30T00:55:00"/>
    <d v="1899-12-30T02:30:00"/>
    <n v="0.05"/>
    <n v="0.1"/>
    <n v="0"/>
    <n v="0"/>
    <n v="0.05"/>
    <n v="0"/>
    <n v="0"/>
    <n v="0"/>
    <n v="0"/>
    <s v="Margarito Rodriguez Rodriguez "/>
    <n v="0"/>
    <n v="0"/>
    <n v="1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85"/>
    <n v="9"/>
    <n v="0"/>
    <n v="3447"/>
    <n v="0"/>
    <n v="3447"/>
    <n v="138.5"/>
    <n v="3585.5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"/>
    <n v="0.9"/>
    <n v="0"/>
    <n v="0"/>
    <n v="0.9"/>
  </r>
  <r>
    <s v="19-17-0038"/>
    <n v="38"/>
    <d v="2019-02-24T00:00:00"/>
    <d v="2019-02-24T00:00:00"/>
    <s v="1 Día"/>
    <n v="32"/>
    <n v="1"/>
    <x v="6"/>
    <x v="5"/>
    <x v="1"/>
    <s v="Morelos "/>
    <n v="20"/>
    <x v="1"/>
    <s v="Tepoztlán"/>
    <s v="Colonia Obrera "/>
    <s v="Oriente "/>
    <n v="18"/>
    <n v="56"/>
    <n v="15.14"/>
    <n v="99"/>
    <n v="2"/>
    <n v="13.09"/>
    <s v="N 18° 56' 15.14'' W 99° 02' 13.09''"/>
    <n v="1357"/>
    <n v="0"/>
    <n v="0"/>
    <n v="0.61"/>
    <n v="1"/>
    <n v="0"/>
    <n v="0"/>
    <n v="1.6099999999999999"/>
    <n v="306.87000000000006"/>
    <n v="8.0755263157894746"/>
    <s v="Fijo"/>
    <s v="Municipios"/>
    <x v="3"/>
    <x v="4"/>
    <s v="Comunal"/>
    <s v="Conservación "/>
    <s v="24-feb-15:45"/>
    <s v="24-feb-15:55"/>
    <s v="24-feb-16:00"/>
    <s v="24-feb-17:10"/>
    <s v="24-feb-17:15"/>
    <m/>
    <s v="24-feb-19:00"/>
    <s v="24-feb-19:20"/>
    <s v="24-feb-20:30"/>
    <d v="1899-12-30T03:35:00"/>
    <d v="1899-12-30T00:10:00"/>
    <d v="1899-12-30T01:15:00"/>
    <d v="1899-12-30T03:35:00"/>
    <n v="0.3"/>
    <n v="0"/>
    <n v="0"/>
    <n v="0"/>
    <n v="0"/>
    <n v="0"/>
    <n v="0.8"/>
    <n v="0.5"/>
    <n v="0"/>
    <s v="Federico Galeana Simeon"/>
    <n v="0"/>
    <n v="1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93"/>
    <n v="8"/>
    <n v="0"/>
    <n v="3064"/>
    <n v="0"/>
    <n v="3064"/>
    <n v="384.16"/>
    <n v="3448.16"/>
    <s v="Sin dato"/>
    <s v="Sin dato"/>
    <s v="Sin dato"/>
    <s v="Sin dato"/>
    <s v="Superficial "/>
    <s v="Minimo"/>
    <s v="Selva Baja Caducifolia "/>
    <s v="SBC"/>
    <s v="Corredor Biológico Chichinautzin "/>
    <s v="No aplica "/>
    <s v="CBC"/>
    <n v="0"/>
    <n v="0"/>
    <n v="0.61"/>
    <n v="1"/>
    <n v="0"/>
    <n v="0"/>
    <n v="1.6099999999999999"/>
  </r>
  <r>
    <s v="19-17-0039"/>
    <n v="39"/>
    <d v="2019-02-27T00:00:00"/>
    <d v="2019-02-27T00:00:00"/>
    <s v="1 Día"/>
    <n v="33"/>
    <n v="1"/>
    <x v="6"/>
    <x v="0"/>
    <x v="1"/>
    <s v="Morelos "/>
    <n v="7"/>
    <x v="5"/>
    <s v="Ahuatepec "/>
    <s v="El Alarcon "/>
    <m/>
    <n v="18"/>
    <n v="58"/>
    <n v="57.3"/>
    <n v="99"/>
    <n v="12"/>
    <n v="47.3"/>
    <s v="N 18° 58' 57.30'' W 99° 12' 47.30''"/>
    <n v="1917"/>
    <n v="0"/>
    <n v="0"/>
    <n v="0"/>
    <n v="0.7"/>
    <n v="0"/>
    <n v="0"/>
    <n v="0.7"/>
    <n v="307.57000000000005"/>
    <n v="7.8864102564102581"/>
    <s v="Fijo"/>
    <s v="CONAFOR"/>
    <x v="1"/>
    <x v="1"/>
    <s v="Comunal"/>
    <s v="Conservación "/>
    <d v="2019-02-27T09:10:00"/>
    <d v="2019-02-27T09:15:00"/>
    <d v="2019-02-27T09:20:00"/>
    <d v="2019-02-27T09:55:00"/>
    <d v="2019-02-27T10:00:00"/>
    <m/>
    <d v="2019-02-27T10:50:00"/>
    <d v="2019-02-27T11:05:00"/>
    <d v="2019-02-27T12:25:00"/>
    <d v="1899-12-30T01:55:00"/>
    <d v="1899-12-30T00:05:00"/>
    <d v="1899-12-30T00:40:00"/>
    <d v="1899-12-30T01:55:00"/>
    <n v="0.3"/>
    <n v="0.25"/>
    <n v="0"/>
    <n v="0"/>
    <n v="0.2"/>
    <n v="0"/>
    <n v="0.1"/>
    <n v="0.28000000000000003"/>
    <n v="0"/>
    <s v="Rogelio Galeana Martinez"/>
    <n v="1"/>
    <n v="0"/>
    <n v="0"/>
    <n v="0"/>
    <n v="0"/>
    <n v="0"/>
    <n v="0"/>
    <n v="0"/>
    <m/>
    <n v="8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15"/>
    <n v="508"/>
    <n v="15"/>
    <n v="0"/>
    <n v="3064"/>
    <n v="1519"/>
    <n v="4583"/>
    <n v="100"/>
    <n v="4683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0"/>
    <n v="0.7"/>
    <n v="0"/>
    <n v="0"/>
    <n v="0.7"/>
  </r>
  <r>
    <s v="19-17-0040"/>
    <n v="40"/>
    <d v="2019-02-27T00:00:00"/>
    <d v="2019-02-27T00:00:00"/>
    <s v="1 Día"/>
    <n v="34"/>
    <n v="1"/>
    <x v="6"/>
    <x v="0"/>
    <x v="1"/>
    <s v="Morelos "/>
    <n v="20"/>
    <x v="1"/>
    <s v="Santa Catarina "/>
    <s v="Lomas Verdes "/>
    <m/>
    <n v="18"/>
    <n v="58"/>
    <n v="8.81"/>
    <n v="99"/>
    <n v="10"/>
    <n v="45.65"/>
    <s v="N 18° 58' 08.81'' W 99° 10' 45.65''"/>
    <n v="1678"/>
    <n v="0"/>
    <n v="0"/>
    <n v="0"/>
    <n v="3.05"/>
    <n v="0"/>
    <n v="0"/>
    <n v="3.05"/>
    <n v="310.62000000000006"/>
    <n v="7.7655000000000012"/>
    <s v="Fijo"/>
    <s v="CONAFOR"/>
    <x v="2"/>
    <x v="2"/>
    <s v="Comunal"/>
    <s v="Conservación "/>
    <d v="2019-02-27T13:05:00"/>
    <d v="2019-02-27T13:10:00"/>
    <d v="2019-02-27T13:15:00"/>
    <d v="2019-02-27T13:45:00"/>
    <d v="2019-02-27T13:50:00"/>
    <m/>
    <d v="2019-02-27T15:00:00"/>
    <d v="2019-02-27T16:06:00"/>
    <m/>
    <d v="1899-12-30T03:01:00"/>
    <d v="1899-12-30T00:05:00"/>
    <d v="1899-12-30T00:35:00"/>
    <d v="1899-12-30T03:01:00"/>
    <n v="0.3"/>
    <n v="0.05"/>
    <n v="0"/>
    <n v="0"/>
    <n v="0.1"/>
    <n v="0"/>
    <n v="0.2"/>
    <n v="0.6"/>
    <n v="0"/>
    <s v="Rogelio Galeana Martinez"/>
    <n v="1"/>
    <n v="0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16"/>
    <n v="8"/>
    <n v="0"/>
    <n v="3064"/>
    <n v="0"/>
    <n v="3064"/>
    <n v="152"/>
    <n v="3216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"/>
    <n v="3.05"/>
    <n v="0"/>
    <n v="0"/>
    <n v="3.05"/>
  </r>
  <r>
    <s v="19-17-0041"/>
    <n v="41"/>
    <d v="2019-02-27T00:00:00"/>
    <d v="2019-02-27T00:00:00"/>
    <s v="1 Día"/>
    <n v="35"/>
    <n v="1"/>
    <x v="6"/>
    <x v="0"/>
    <x v="1"/>
    <s v="Morelos "/>
    <n v="20"/>
    <x v="1"/>
    <s v="Santa Catarina "/>
    <s v="Teczilac "/>
    <m/>
    <n v="18"/>
    <n v="56"/>
    <n v="55.63"/>
    <n v="99"/>
    <n v="10"/>
    <n v="29"/>
    <s v="N 18° 56' 55.63'' W 99° 10' 29.00''"/>
    <n v="1569"/>
    <n v="0"/>
    <n v="0"/>
    <n v="1"/>
    <n v="5"/>
    <n v="0"/>
    <n v="0"/>
    <n v="6"/>
    <n v="316.62000000000006"/>
    <n v="7.722439024390245"/>
    <s v="Fijo"/>
    <s v="CONAFOR"/>
    <x v="2"/>
    <x v="2"/>
    <s v="Comunal"/>
    <s v="Conservación "/>
    <d v="2019-02-27T15:50:00"/>
    <d v="2019-02-27T16:00:00"/>
    <d v="2019-02-27T16:06:00"/>
    <d v="2019-02-27T16:40:00"/>
    <d v="2019-02-27T16:45:00"/>
    <m/>
    <d v="2019-02-27T18:20:00"/>
    <d v="2019-02-27T19:10:00"/>
    <d v="2019-02-27T21:00:00"/>
    <d v="1899-12-30T03:20:00"/>
    <d v="1899-12-30T00:10:00"/>
    <d v="1899-12-30T00:40:00"/>
    <d v="1899-12-30T03:20:00"/>
    <n v="0.6"/>
    <n v="0.5"/>
    <n v="0"/>
    <n v="0"/>
    <n v="0.5"/>
    <n v="0"/>
    <n v="0.7"/>
    <n v="1.8"/>
    <n v="0"/>
    <s v="Rogelio Galeana Martinez"/>
    <n v="1"/>
    <n v="0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24"/>
    <n v="8"/>
    <n v="0"/>
    <n v="3064"/>
    <n v="0"/>
    <n v="3064"/>
    <n v="133"/>
    <n v="3197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1"/>
    <n v="5"/>
    <n v="0"/>
    <n v="0"/>
    <n v="6"/>
  </r>
  <r>
    <s v="19-17-0042"/>
    <n v="42"/>
    <d v="2019-02-27T00:00:00"/>
    <d v="2019-02-27T00:00:00"/>
    <s v="1 Día"/>
    <n v="36"/>
    <n v="1"/>
    <x v="6"/>
    <x v="0"/>
    <x v="1"/>
    <s v="Morelos "/>
    <n v="17"/>
    <x v="6"/>
    <s v="Puente de Ixtla "/>
    <s v="El Basurero "/>
    <s v="Sur - Oriente "/>
    <n v="18"/>
    <n v="40"/>
    <n v="26.6"/>
    <n v="99"/>
    <n v="21"/>
    <n v="13"/>
    <s v="N 18° 40' 26.60'' W 99° 21' 13.00''"/>
    <n v="962"/>
    <n v="0"/>
    <n v="0"/>
    <n v="5"/>
    <n v="6.35"/>
    <n v="0"/>
    <n v="0"/>
    <n v="11.35"/>
    <n v="327.97000000000008"/>
    <n v="7.8088095238095256"/>
    <s v="Fijo"/>
    <s v="Municipios"/>
    <x v="3"/>
    <x v="4"/>
    <s v="Ejidal"/>
    <s v="Conservación "/>
    <d v="2019-02-27T12:40:00"/>
    <d v="2019-02-27T12:46:00"/>
    <d v="2019-02-27T12:50:00"/>
    <d v="2019-02-27T14:24:00"/>
    <d v="2019-02-27T14:28:00"/>
    <m/>
    <d v="2019-02-27T17:00:00"/>
    <d v="2019-02-27T17:40:00"/>
    <d v="2019-02-27T19:30:00"/>
    <d v="1899-12-30T05:00:00"/>
    <d v="1899-12-30T00:06:00"/>
    <d v="1899-12-30T01:38:00"/>
    <d v="1899-12-30T05:00:00"/>
    <n v="0.9"/>
    <n v="1"/>
    <n v="0.8"/>
    <n v="0"/>
    <n v="0.5"/>
    <n v="0"/>
    <n v="0"/>
    <n v="1.5"/>
    <n v="0"/>
    <s v="Donato Perez Martinez"/>
    <n v="0"/>
    <n v="0"/>
    <n v="0"/>
    <n v="0"/>
    <n v="0"/>
    <n v="0"/>
    <n v="0"/>
    <n v="0"/>
    <s v="Brigada Contingencias, PC Coatlan "/>
    <n v="0"/>
    <n v="0"/>
    <n v="0"/>
    <n v="0"/>
    <n v="0"/>
    <n v="0"/>
    <n v="0"/>
    <n v="0"/>
    <n v="0"/>
    <n v="0"/>
    <n v="14"/>
    <n v="0"/>
    <n v="0"/>
    <n v="6"/>
    <n v="0"/>
    <n v="0"/>
    <n v="0"/>
    <n v="0"/>
    <n v="0"/>
    <n v="0"/>
    <n v="20"/>
    <n v="544"/>
    <n v="20"/>
    <n v="0"/>
    <n v="0"/>
    <n v="4340"/>
    <n v="4340"/>
    <n v="665"/>
    <n v="5005"/>
    <s v="Sin dato"/>
    <s v="Sin dato"/>
    <s v="Sin dato"/>
    <s v="Sin dato"/>
    <s v="Superficial "/>
    <s v="Minimo"/>
    <s v="Selva Baja Caducifolia "/>
    <s v="SBC"/>
    <s v="Fuera ANP"/>
    <s v="No aplica "/>
    <s v="FANP"/>
    <n v="0"/>
    <n v="0"/>
    <n v="0"/>
    <n v="0"/>
    <n v="0"/>
    <n v="0"/>
    <n v="0"/>
  </r>
  <r>
    <s v="19-17-0043"/>
    <n v="43"/>
    <d v="2019-02-28T00:00:00"/>
    <d v="2019-02-28T00:00:00"/>
    <s v="1 Día"/>
    <n v="37"/>
    <n v="1"/>
    <x v="6"/>
    <x v="2"/>
    <x v="1"/>
    <s v="Morelos "/>
    <n v="20"/>
    <x v="1"/>
    <s v="Santa Catarina "/>
    <s v="Los Guayabos "/>
    <s v="Sur"/>
    <n v="18"/>
    <n v="57"/>
    <n v="54.8"/>
    <n v="99"/>
    <n v="10"/>
    <n v="5.3"/>
    <s v="N 18° 57' 54.80'' W 99° 10' 05.30''"/>
    <n v="1638"/>
    <n v="0"/>
    <n v="0"/>
    <n v="0.9"/>
    <n v="0"/>
    <n v="0"/>
    <n v="0"/>
    <n v="0.9"/>
    <n v="328.87000000000006"/>
    <n v="7.6481395348837227"/>
    <s v="Fijo"/>
    <s v="CONAFOR"/>
    <x v="2"/>
    <x v="2"/>
    <s v="Comunal"/>
    <s v="Conservación "/>
    <d v="2019-02-28T14:35:00"/>
    <d v="2019-02-28T14:40:00"/>
    <d v="2019-02-28T14:45:00"/>
    <d v="2019-02-28T15:50:00"/>
    <d v="2019-02-28T15:55:00"/>
    <m/>
    <d v="2019-02-28T16:00:00"/>
    <d v="2019-02-28T16:45:00"/>
    <m/>
    <d v="1899-12-30T02:10:00"/>
    <d v="1899-12-30T00:05:00"/>
    <d v="1899-12-30T01:10:00"/>
    <d v="1899-12-30T02:10:00"/>
    <n v="0.03"/>
    <n v="0.04"/>
    <n v="0"/>
    <n v="0"/>
    <n v="0.3"/>
    <n v="0"/>
    <n v="0"/>
    <n v="0.1"/>
    <n v="0"/>
    <s v="Hesiquio Antonino Rios Ortega"/>
    <n v="0"/>
    <n v="0"/>
    <n v="0"/>
    <n v="1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52"/>
    <n v="8"/>
    <n v="0"/>
    <n v="3064"/>
    <n v="0"/>
    <n v="3064"/>
    <n v="171"/>
    <n v="3235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.9"/>
    <n v="0"/>
    <n v="0"/>
    <n v="0"/>
    <n v="0.9"/>
  </r>
  <r>
    <s v="19-17-0044"/>
    <n v="44"/>
    <d v="2019-02-28T00:00:00"/>
    <d v="2019-02-28T00:00:00"/>
    <s v="1 Día"/>
    <n v="38"/>
    <n v="1"/>
    <x v="6"/>
    <x v="2"/>
    <x v="1"/>
    <s v="Morelos "/>
    <n v="29"/>
    <x v="4"/>
    <s v="Yautepec"/>
    <s v="Cañon de Lobos "/>
    <m/>
    <n v="18"/>
    <n v="51"/>
    <n v="31.99"/>
    <n v="99"/>
    <n v="6"/>
    <n v="42.96"/>
    <s v="N 18° 51' 31.99'' W 99° 06' 42.96''"/>
    <n v="1341"/>
    <n v="0"/>
    <n v="0"/>
    <n v="2"/>
    <n v="3.07"/>
    <n v="0"/>
    <n v="0"/>
    <n v="5.07"/>
    <n v="333.94000000000005"/>
    <n v="7.5895454545454557"/>
    <s v="Fijo"/>
    <s v="Municipios"/>
    <x v="5"/>
    <x v="1"/>
    <s v="Comunal"/>
    <s v="Conservación "/>
    <d v="2019-02-28T14:45:00"/>
    <d v="2019-02-28T14:50:00"/>
    <d v="2019-02-28T14:57:00"/>
    <d v="2019-02-28T15:50:00"/>
    <d v="2019-02-28T16:00:00"/>
    <m/>
    <d v="2019-02-28T18:00:00"/>
    <d v="2019-02-28T18:30:00"/>
    <d v="2019-02-28T19:30:00"/>
    <d v="1899-12-30T03:45:00"/>
    <d v="1899-12-30T00:05:00"/>
    <d v="1899-12-30T01:00:00"/>
    <d v="1899-12-30T03:45:00"/>
    <n v="0.3"/>
    <n v="0.7"/>
    <n v="0"/>
    <n v="0"/>
    <n v="0.3"/>
    <n v="0"/>
    <n v="0.2"/>
    <n v="0.9"/>
    <n v="0"/>
    <s v="Federico Galeana Simeon"/>
    <n v="0"/>
    <n v="1"/>
    <n v="0"/>
    <n v="0"/>
    <n v="0"/>
    <n v="0"/>
    <n v="0"/>
    <n v="0"/>
    <s v="Brigada Contingencias"/>
    <n v="8"/>
    <n v="0"/>
    <n v="0"/>
    <n v="0"/>
    <n v="0"/>
    <n v="0"/>
    <n v="0"/>
    <n v="0"/>
    <n v="0"/>
    <n v="0"/>
    <n v="15"/>
    <n v="0"/>
    <n v="0"/>
    <n v="0"/>
    <n v="0"/>
    <n v="0"/>
    <n v="0"/>
    <n v="0"/>
    <n v="0"/>
    <n v="0"/>
    <n v="23"/>
    <n v="575"/>
    <n v="23"/>
    <n v="0"/>
    <n v="3064"/>
    <n v="3255"/>
    <n v="6319"/>
    <n v="475"/>
    <n v="6794"/>
    <s v="Sin dato"/>
    <s v="Sin dato"/>
    <s v="Sin dato"/>
    <s v="Sin dato"/>
    <s v="Superficial "/>
    <s v="Minimo"/>
    <s v="Selva Baja Caducifolia "/>
    <s v="SBC"/>
    <s v="Reserva Estatal Sierra Montenegro "/>
    <s v="No aplica "/>
    <s v="RESM"/>
    <n v="0"/>
    <n v="0"/>
    <n v="1.49"/>
    <n v="3"/>
    <n v="0"/>
    <n v="0"/>
    <n v="4.49"/>
  </r>
  <r>
    <s v="19-17-0045"/>
    <n v="45"/>
    <d v="2019-02-28T00:00:00"/>
    <d v="2019-02-28T00:00:00"/>
    <s v="1 Día"/>
    <n v="39"/>
    <n v="1"/>
    <x v="6"/>
    <x v="2"/>
    <x v="1"/>
    <s v="Morelos "/>
    <n v="20"/>
    <x v="1"/>
    <s v="Santa Catarina "/>
    <s v="Tetzilacac"/>
    <s v="Sur"/>
    <n v="18"/>
    <n v="56"/>
    <n v="54.8"/>
    <n v="99"/>
    <n v="10"/>
    <n v="31.7"/>
    <s v="N 18° 56' 54.80'' W 99° 10' 31.70''"/>
    <n v="1565"/>
    <n v="0"/>
    <n v="0"/>
    <n v="0.5"/>
    <n v="0"/>
    <n v="0"/>
    <n v="0"/>
    <n v="0.5"/>
    <n v="334.44000000000005"/>
    <n v="7.4320000000000013"/>
    <s v="Movil"/>
    <s v="Brigada sierra 34"/>
    <x v="2"/>
    <x v="2"/>
    <s v="Comunal"/>
    <s v="Conservación "/>
    <d v="2019-02-28T16:38:00"/>
    <d v="2019-02-28T16:40:00"/>
    <d v="2019-02-28T16:45:00"/>
    <d v="2019-02-28T17:25:00"/>
    <d v="2019-02-28T17:25:00"/>
    <m/>
    <d v="2019-02-28T17:50:00"/>
    <d v="2019-02-28T18:25:00"/>
    <d v="2019-02-28T19:00:00"/>
    <d v="1899-12-30T01:47:00"/>
    <d v="1899-12-30T00:02:00"/>
    <d v="1899-12-30T00:45:00"/>
    <d v="1899-12-30T01:47:00"/>
    <n v="0.1"/>
    <n v="0.1"/>
    <n v="0"/>
    <n v="0"/>
    <n v="0.05"/>
    <n v="0"/>
    <n v="0"/>
    <n v="0"/>
    <n v="0"/>
    <s v="Hesiquio Antonino Rios Ortega"/>
    <n v="0"/>
    <n v="0"/>
    <n v="0"/>
    <n v="1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83"/>
    <n v="8"/>
    <n v="0"/>
    <n v="3064"/>
    <n v="0"/>
    <n v="3064"/>
    <n v="171"/>
    <n v="3235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.5"/>
    <n v="0"/>
    <n v="0"/>
    <n v="0"/>
    <n v="0.5"/>
  </r>
  <r>
    <s v="19-17-0046"/>
    <n v="46"/>
    <d v="2019-03-02T00:00:00"/>
    <d v="2019-03-02T00:00:00"/>
    <s v="1 Día"/>
    <n v="40"/>
    <n v="1"/>
    <x v="7"/>
    <x v="3"/>
    <x v="2"/>
    <s v="Morelos "/>
    <n v="20"/>
    <x v="1"/>
    <s v="Santa Catarina "/>
    <s v="KM 8"/>
    <s v="Sur"/>
    <n v="18"/>
    <n v="57"/>
    <n v="53.37"/>
    <n v="99"/>
    <n v="10"/>
    <n v="13.14"/>
    <s v="N 18° 57' 53.37'' W 99° 10' 13.14''"/>
    <n v="1651"/>
    <n v="0"/>
    <n v="0"/>
    <n v="0"/>
    <n v="0.9"/>
    <n v="0"/>
    <n v="0"/>
    <n v="0.9"/>
    <n v="335.34000000000003"/>
    <n v="7.2900000000000009"/>
    <s v="Fijo"/>
    <s v="CONAFOR"/>
    <x v="3"/>
    <x v="3"/>
    <s v="Comunal"/>
    <s v="Conservación "/>
    <d v="2019-03-02T09:40:00"/>
    <d v="2019-03-02T09:45:00"/>
    <d v="2019-03-02T09:50:00"/>
    <d v="2019-03-02T10:20:00"/>
    <d v="2019-03-02T10:25:00"/>
    <m/>
    <d v="2019-03-02T11:00:00"/>
    <d v="2019-03-02T11:30:00"/>
    <d v="2019-03-02T11:50:00"/>
    <d v="1899-12-30T01:50:00"/>
    <d v="1899-12-30T00:05:00"/>
    <d v="1899-12-30T00:35:00"/>
    <d v="1899-12-30T01:50:00"/>
    <n v="0.1"/>
    <n v="0.1"/>
    <n v="0"/>
    <n v="0"/>
    <n v="0.1"/>
    <n v="0"/>
    <n v="0"/>
    <n v="0"/>
    <n v="0"/>
    <s v="Margarito Rodriguez Rodriguez "/>
    <n v="0"/>
    <n v="0"/>
    <n v="1"/>
    <n v="0"/>
    <n v="0"/>
    <n v="0"/>
    <n v="0"/>
    <n v="0"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93"/>
    <n v="10"/>
    <n v="0"/>
    <n v="3830"/>
    <n v="0"/>
    <n v="3830"/>
    <n v="137.97"/>
    <n v="3967.97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"/>
    <n v="0.9"/>
    <n v="0"/>
    <n v="0"/>
    <n v="0.9"/>
  </r>
  <r>
    <s v="19-17-0047"/>
    <n v="47"/>
    <d v="2019-03-02T00:00:00"/>
    <d v="2019-03-02T00:00:00"/>
    <s v="1 Día"/>
    <n v="41"/>
    <n v="1"/>
    <x v="7"/>
    <x v="3"/>
    <x v="2"/>
    <s v="Morelos "/>
    <n v="23"/>
    <x v="2"/>
    <s v="Tlalnepantla"/>
    <s v="Ocolluhualoc"/>
    <m/>
    <n v="19"/>
    <n v="2"/>
    <n v="37.89"/>
    <n v="99"/>
    <n v="0"/>
    <n v="27.68"/>
    <s v="N 19° 02' 37.89'' W 99° 00' 27.68''"/>
    <n v="2784"/>
    <n v="0"/>
    <n v="0"/>
    <n v="3.78"/>
    <n v="4"/>
    <n v="0"/>
    <n v="0"/>
    <n v="7.7799999999999994"/>
    <n v="343.12"/>
    <n v="7.3004255319148941"/>
    <s v="Movil"/>
    <s v="Brigada Municipal"/>
    <x v="1"/>
    <x v="1"/>
    <s v="Comunal"/>
    <s v="Conservación "/>
    <d v="2019-03-02T11:00:00"/>
    <d v="2019-03-02T11:15:00"/>
    <d v="2019-03-02T11:20:00"/>
    <d v="2019-03-02T13:50:00"/>
    <d v="2019-03-02T13:55:00"/>
    <d v="2019-03-02T13:55:00"/>
    <d v="2019-03-02T16:50:00"/>
    <d v="2019-03-02T18:00:00"/>
    <d v="2019-03-02T21:30:00"/>
    <d v="1899-12-30T07:00:00"/>
    <d v="1899-12-30T00:15:00"/>
    <d v="1899-12-30T02:35:00"/>
    <d v="1899-12-30T07:00:00"/>
    <n v="0.7"/>
    <n v="1.6"/>
    <n v="0"/>
    <n v="0"/>
    <n v="0.5"/>
    <n v="0"/>
    <n v="0.3"/>
    <n v="2.6"/>
    <n v="0"/>
    <s v="Rogelio Galeana Martinez"/>
    <n v="1"/>
    <n v="1"/>
    <n v="0"/>
    <n v="0"/>
    <n v="1"/>
    <n v="0"/>
    <n v="0"/>
    <n v="0"/>
    <m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610"/>
    <n v="17"/>
    <n v="0"/>
    <n v="6511"/>
    <n v="0"/>
    <n v="6511"/>
    <n v="1711.4"/>
    <n v="8222.4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3.78"/>
    <n v="4"/>
    <n v="0"/>
    <n v="0"/>
    <n v="7.7799999999999994"/>
  </r>
  <r>
    <s v="19-17-0048"/>
    <n v="48"/>
    <d v="2019-03-02T00:00:00"/>
    <d v="2019-03-02T00:00:00"/>
    <s v="1 Día"/>
    <n v="42"/>
    <n v="1"/>
    <x v="7"/>
    <x v="3"/>
    <x v="2"/>
    <s v="Morelos "/>
    <n v="20"/>
    <x v="1"/>
    <s v="Santa Catarina "/>
    <s v="Xochicala"/>
    <m/>
    <n v="18"/>
    <n v="57"/>
    <n v="51.8"/>
    <n v="99"/>
    <n v="9"/>
    <n v="40.799999999999997"/>
    <s v="N 18° 57' 51.80'' W 99° 09' 40.80''"/>
    <n v="1616"/>
    <n v="0"/>
    <n v="0"/>
    <n v="5"/>
    <n v="5"/>
    <n v="0"/>
    <n v="0"/>
    <n v="10"/>
    <n v="353.12"/>
    <n v="7.3566666666666665"/>
    <s v="Fijo"/>
    <s v="CONAFOR"/>
    <x v="2"/>
    <x v="2"/>
    <s v="Comunal"/>
    <s v="Conservación "/>
    <d v="2019-03-02T12:20:00"/>
    <d v="2019-03-02T12:28:00"/>
    <d v="2019-03-02T12:30:00"/>
    <d v="2019-03-02T13:00:00"/>
    <d v="2019-03-02T13:10:00"/>
    <m/>
    <d v="2019-03-02T18:00:00"/>
    <d v="2019-03-02T19:20:00"/>
    <d v="2019-03-02T20:00:00"/>
    <d v="1899-12-30T07:00:00"/>
    <d v="1899-12-30T00:08:00"/>
    <d v="1899-12-30T00:32:00"/>
    <d v="1899-12-30T07:00:00"/>
    <n v="0.2"/>
    <n v="0.3"/>
    <n v="0"/>
    <n v="0"/>
    <n v="0.4"/>
    <n v="0"/>
    <n v="0"/>
    <n v="0.4"/>
    <n v="0"/>
    <s v="Teodoro Rea Martinez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19"/>
    <n v="9"/>
    <n v="0"/>
    <n v="3447"/>
    <n v="0"/>
    <n v="3447"/>
    <n v="193.69"/>
    <n v="3640.69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5"/>
    <n v="5"/>
    <n v="0"/>
    <n v="0"/>
    <n v="10"/>
  </r>
  <r>
    <s v="19-17-0049"/>
    <n v="49"/>
    <d v="2019-03-04T00:00:00"/>
    <d v="2019-03-04T00:00:00"/>
    <s v="1 Día"/>
    <n v="43"/>
    <n v="1"/>
    <x v="7"/>
    <x v="6"/>
    <x v="2"/>
    <s v="Morelos "/>
    <n v="20"/>
    <x v="1"/>
    <s v="Santa Catarina "/>
    <s v="Villa Santiago"/>
    <s v="Norte "/>
    <n v="18"/>
    <n v="59"/>
    <n v="2.7"/>
    <n v="99"/>
    <n v="10"/>
    <n v="58.1"/>
    <s v="N 18° 59' 02.70'' W 99° 10' 58.10''"/>
    <n v="1792"/>
    <n v="0"/>
    <n v="0"/>
    <n v="0.9"/>
    <n v="0"/>
    <n v="0"/>
    <n v="0"/>
    <n v="0.9"/>
    <n v="354.02"/>
    <n v="7.2248979591836733"/>
    <s v="Fijo"/>
    <s v="CONAFOR"/>
    <x v="2"/>
    <x v="2"/>
    <s v="Comunal"/>
    <s v="Conservación "/>
    <d v="2019-03-04T15:40:00"/>
    <d v="2019-03-04T15:45:00"/>
    <d v="2019-03-04T15:50:00"/>
    <d v="2019-03-04T16:15:00"/>
    <d v="2019-03-04T16:20:00"/>
    <m/>
    <d v="2019-03-04T16:40:00"/>
    <d v="2019-03-04T17:15:00"/>
    <d v="2019-03-04T18:00:00"/>
    <d v="1899-12-30T01:35:00"/>
    <d v="1899-12-30T00:05:00"/>
    <d v="1899-12-30T00:30:00"/>
    <d v="1899-12-30T01:35:00"/>
    <n v="0.1"/>
    <n v="0.3"/>
    <n v="0"/>
    <n v="0"/>
    <n v="0"/>
    <n v="0"/>
    <n v="0"/>
    <n v="0"/>
    <n v="0"/>
    <s v="Donato Perez Martinez"/>
    <n v="0"/>
    <n v="0"/>
    <n v="0"/>
    <n v="0"/>
    <n v="0"/>
    <n v="0"/>
    <n v="0"/>
    <n v="0"/>
    <s v="Brigada Contingencias"/>
    <n v="0"/>
    <n v="0"/>
    <n v="0"/>
    <n v="0"/>
    <n v="0"/>
    <n v="0"/>
    <n v="0"/>
    <n v="0"/>
    <n v="0"/>
    <n v="0"/>
    <n v="14"/>
    <n v="0"/>
    <n v="0"/>
    <n v="0"/>
    <n v="0"/>
    <n v="0"/>
    <n v="0"/>
    <n v="0"/>
    <n v="0"/>
    <n v="0"/>
    <n v="14"/>
    <n v="633"/>
    <n v="14"/>
    <n v="0"/>
    <n v="0"/>
    <n v="3038"/>
    <n v="3038"/>
    <n v="216.24"/>
    <n v="3254.24"/>
    <s v="Sin dato"/>
    <s v="Sin dato"/>
    <s v="Sin dato"/>
    <s v="Sin dato"/>
    <s v="Superficial "/>
    <s v="Minimo"/>
    <s v="Bosque de Encino - Pino"/>
    <s v="BQP"/>
    <s v="Parque Nacional El Tepozteco "/>
    <s v="Corredor Biológico Chichinautzin "/>
    <s v="PNTP - CBC"/>
    <n v="0"/>
    <n v="0"/>
    <n v="0.9"/>
    <n v="0"/>
    <n v="0"/>
    <n v="0"/>
    <n v="0.9"/>
  </r>
  <r>
    <s v="19-17-0050"/>
    <n v="50"/>
    <d v="2019-03-05T00:00:00"/>
    <d v="2019-03-05T00:00:00"/>
    <s v="1 Día"/>
    <n v="44"/>
    <n v="1"/>
    <x v="7"/>
    <x v="4"/>
    <x v="2"/>
    <s v="Morelos "/>
    <n v="9"/>
    <x v="0"/>
    <s v="Huitzilac "/>
    <s v="San Miguel"/>
    <m/>
    <n v="19"/>
    <n v="1"/>
    <n v="15.3"/>
    <n v="99"/>
    <n v="14"/>
    <n v="35.9"/>
    <s v="N 19° 01' 15.30'' W 99° 14' 35.90''"/>
    <n v="2453"/>
    <n v="0"/>
    <n v="0"/>
    <n v="0.5"/>
    <n v="0.4"/>
    <n v="0"/>
    <n v="0"/>
    <n v="0.9"/>
    <n v="354.91999999999996"/>
    <n v="7.0983999999999989"/>
    <s v="Fijo"/>
    <s v="CONAFOR"/>
    <x v="3"/>
    <x v="3"/>
    <s v="Comunal"/>
    <s v="Conservación "/>
    <d v="2019-03-05T14:20:00"/>
    <d v="2019-03-05T14:25:00"/>
    <d v="2019-03-05T14:30:00"/>
    <d v="2019-03-05T15:10:00"/>
    <d v="2019-03-05T15:15:00"/>
    <m/>
    <d v="2019-03-05T16:00:00"/>
    <d v="2019-03-05T17:00:00"/>
    <d v="2019-03-05T18:00:00"/>
    <d v="1899-12-30T02:40:00"/>
    <d v="1899-12-30T00:05:00"/>
    <d v="1899-12-30T00:45:00"/>
    <d v="1899-12-30T02:40:00"/>
    <n v="0.02"/>
    <n v="0.1"/>
    <n v="0"/>
    <n v="0"/>
    <n v="0.05"/>
    <n v="0"/>
    <n v="0"/>
    <n v="0"/>
    <n v="0"/>
    <s v="Margarito Rodriguez Rodriguez "/>
    <n v="0"/>
    <n v="0"/>
    <n v="1"/>
    <n v="0"/>
    <n v="0"/>
    <n v="0"/>
    <n v="0"/>
    <n v="0"/>
    <s v="PC Huitzilac "/>
    <n v="1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14"/>
    <n v="647"/>
    <n v="14"/>
    <n v="0"/>
    <n v="3830"/>
    <n v="868"/>
    <n v="4698"/>
    <n v="127.93"/>
    <n v="4825.93"/>
    <s v="Sin dato"/>
    <s v="Sin dato"/>
    <s v="Sin dato"/>
    <s v="Sin dato"/>
    <s v="Superficial "/>
    <s v="Minimo"/>
    <s v="Bosque de Pino "/>
    <s v="BP"/>
    <s v="Corredor Biológico Chichinautzin "/>
    <s v="No aplica "/>
    <s v="CBC"/>
    <n v="0"/>
    <n v="0"/>
    <n v="0.5"/>
    <n v="0.4"/>
    <n v="0"/>
    <n v="0"/>
    <n v="0.9"/>
  </r>
  <r>
    <s v="19-17-0051"/>
    <n v="51"/>
    <d v="2019-03-06T00:00:00"/>
    <d v="2019-03-06T00:00:00"/>
    <s v="1 Día"/>
    <n v="45"/>
    <n v="1"/>
    <x v="7"/>
    <x v="0"/>
    <x v="2"/>
    <s v="Morelos "/>
    <n v="9"/>
    <x v="0"/>
    <s v="Huitzilac "/>
    <s v="Potreros"/>
    <s v="Sur - Poniente"/>
    <n v="19"/>
    <n v="6"/>
    <n v="23.22"/>
    <n v="99"/>
    <n v="18"/>
    <n v="14.43"/>
    <s v="N 19° 06' 23.22'' W 99° 18' 14.43''"/>
    <n v="3157"/>
    <n v="0"/>
    <n v="1"/>
    <n v="2.38"/>
    <n v="0"/>
    <n v="0"/>
    <n v="0"/>
    <n v="3.38"/>
    <n v="358.29999999999995"/>
    <n v="7.0254901960784304"/>
    <s v="Fijo"/>
    <s v="CONAFOR"/>
    <x v="0"/>
    <x v="0"/>
    <s v="Comunal"/>
    <s v="Conservación "/>
    <d v="2019-03-06T14:40:00"/>
    <d v="2019-03-06T14:50:00"/>
    <d v="2019-03-06T14:55:00"/>
    <d v="2019-03-06T16:50:00"/>
    <d v="2019-03-06T16:55:00"/>
    <m/>
    <d v="2019-03-06T18:30:00"/>
    <d v="2019-03-06T19:10:00"/>
    <d v="2019-03-06T21:30:00"/>
    <d v="1899-12-30T04:30:00"/>
    <d v="1899-12-30T00:10:00"/>
    <d v="1899-12-30T02:00:00"/>
    <d v="1899-12-30T04:30:00"/>
    <n v="0.08"/>
    <n v="0.4"/>
    <n v="0"/>
    <n v="0"/>
    <n v="0.1"/>
    <n v="0"/>
    <n v="0.2"/>
    <n v="0.5"/>
    <n v="0"/>
    <s v="Rogelio Galeana Martinez"/>
    <n v="1"/>
    <n v="0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55"/>
    <n v="8"/>
    <n v="0"/>
    <n v="3064"/>
    <n v="0"/>
    <n v="3064"/>
    <n v="423.78"/>
    <n v="3487.7799999999997"/>
    <s v="Sin dato"/>
    <s v="Sin dato"/>
    <s v="Sin dato"/>
    <s v="Sin dato"/>
    <s v="Superficial "/>
    <s v="Minimo"/>
    <s v="Bosque de Pino "/>
    <s v="BP"/>
    <s v="Corredor Biológico Chichinautzin "/>
    <s v="No aplica "/>
    <s v="CBC"/>
    <n v="0"/>
    <n v="1"/>
    <n v="2.38"/>
    <n v="0"/>
    <n v="0"/>
    <n v="0"/>
    <n v="3.38"/>
  </r>
  <r>
    <s v="19-17-0052"/>
    <n v="52"/>
    <d v="2019-03-07T00:00:00"/>
    <d v="2019-03-07T00:00:00"/>
    <s v="1 Día"/>
    <n v="46"/>
    <n v="1"/>
    <x v="7"/>
    <x v="2"/>
    <x v="2"/>
    <s v="Morelos "/>
    <n v="29"/>
    <x v="4"/>
    <s v="La Joya "/>
    <s v="Las Tetillas"/>
    <s v="Sur - Poniente"/>
    <n v="18"/>
    <n v="52"/>
    <n v="30.9"/>
    <n v="99"/>
    <n v="6"/>
    <n v="28.1"/>
    <s v="N 18° 52' 30.90'' W 99° 06' 28.10''"/>
    <n v="1421"/>
    <n v="0"/>
    <n v="0"/>
    <n v="0.4"/>
    <n v="0.5"/>
    <n v="0"/>
    <n v="0"/>
    <n v="0.9"/>
    <n v="359.19999999999993"/>
    <n v="6.9076923076923062"/>
    <s v="Fijo"/>
    <s v="Municipios"/>
    <x v="3"/>
    <x v="3"/>
    <s v="Comunal"/>
    <s v="Conservación "/>
    <d v="2019-03-07T15:50:00"/>
    <d v="2019-03-07T15:55:00"/>
    <d v="2019-03-07T16:00:00"/>
    <d v="2019-03-07T17:10:00"/>
    <d v="2019-03-07T17:20:00"/>
    <m/>
    <d v="2019-03-07T18:10:00"/>
    <d v="2019-03-07T19:05:00"/>
    <d v="2019-03-07T20:30:00"/>
    <d v="1899-12-30T03:15:00"/>
    <d v="1899-12-30T00:05:00"/>
    <d v="1899-12-30T01:15:00"/>
    <d v="1899-12-30T03:15:00"/>
    <n v="0.2"/>
    <n v="0"/>
    <n v="0"/>
    <n v="0"/>
    <n v="0.1"/>
    <n v="0"/>
    <n v="0.3"/>
    <n v="0.3"/>
    <n v="0"/>
    <s v="Federico Galeana Simeon"/>
    <n v="0"/>
    <n v="1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63"/>
    <n v="8"/>
    <n v="0"/>
    <n v="3064"/>
    <n v="0"/>
    <n v="3064"/>
    <n v="323"/>
    <n v="3387"/>
    <s v="Sin dato"/>
    <s v="Sin dato"/>
    <s v="Sin dato"/>
    <s v="Sin dato"/>
    <s v="Superficial "/>
    <s v="Minimo"/>
    <s v="Selva Baja Caducifolia "/>
    <s v="SBC"/>
    <s v="Reserva Estatal Sierra Montenegro "/>
    <s v="No aplica "/>
    <s v="RESM"/>
    <n v="0"/>
    <n v="0"/>
    <n v="0.4"/>
    <n v="0.5"/>
    <n v="0"/>
    <n v="0"/>
    <n v="0.9"/>
  </r>
  <r>
    <s v="19-17-0053"/>
    <n v="53"/>
    <d v="2019-03-07T00:00:00"/>
    <d v="2019-03-07T00:00:00"/>
    <s v="1 Día"/>
    <n v="47"/>
    <n v="1"/>
    <x v="7"/>
    <x v="2"/>
    <x v="2"/>
    <s v="Morelos "/>
    <n v="9"/>
    <x v="0"/>
    <s v="Huitzilac "/>
    <s v="La Lagunita "/>
    <s v="Oriente "/>
    <n v="19"/>
    <n v="6"/>
    <n v="32.1"/>
    <n v="99"/>
    <n v="17"/>
    <n v="52.7"/>
    <s v="N 19° 06' 32.10'' W 99° 17' 52.70''"/>
    <n v="3134"/>
    <n v="0"/>
    <n v="0"/>
    <n v="0.5"/>
    <n v="0.4"/>
    <n v="0"/>
    <n v="0"/>
    <n v="0.9"/>
    <n v="360.09999999999991"/>
    <n v="6.794339622641508"/>
    <s v="Fijo"/>
    <s v="CONAFOR"/>
    <x v="0"/>
    <x v="0"/>
    <s v="Comunal"/>
    <s v="Conservación "/>
    <d v="2019-03-07T16:15:00"/>
    <d v="2019-03-07T16:18:00"/>
    <d v="2019-03-07T16:20:00"/>
    <d v="2019-03-07T17:50:00"/>
    <d v="2019-03-07T17:55:00"/>
    <m/>
    <d v="2019-03-07T19:00:00"/>
    <d v="2019-03-07T20:00:00"/>
    <d v="2019-03-07T21:30:00"/>
    <d v="1899-12-30T03:45:00"/>
    <d v="1899-12-30T00:03:00"/>
    <d v="1899-12-30T01:32:00"/>
    <d v="1899-12-30T03:45:00"/>
    <n v="0.05"/>
    <n v="7.0000000000000007E-2"/>
    <n v="0"/>
    <n v="0"/>
    <n v="0.04"/>
    <n v="0"/>
    <n v="0.08"/>
    <n v="0.1"/>
    <n v="0"/>
    <s v="Teodoro Rea Martinez"/>
    <n v="0"/>
    <n v="0"/>
    <n v="0"/>
    <n v="1"/>
    <n v="0"/>
    <n v="0"/>
    <n v="0"/>
    <n v="0"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73"/>
    <n v="10"/>
    <n v="0"/>
    <n v="3830"/>
    <n v="0"/>
    <n v="3830"/>
    <n v="380"/>
    <n v="4210"/>
    <s v="Sin dato"/>
    <s v="Sin dato"/>
    <s v="Sin dato"/>
    <s v="Sin dato"/>
    <s v="Superficial "/>
    <s v="Minimo"/>
    <s v="Bosque de Oyamel"/>
    <s v="BA"/>
    <s v="Corredor Biológico Chichinautzin "/>
    <s v="No aplica "/>
    <s v="CBC"/>
    <n v="0"/>
    <n v="0"/>
    <n v="0.5"/>
    <n v="0.4"/>
    <n v="0"/>
    <n v="0"/>
    <n v="0.9"/>
  </r>
  <r>
    <s v="19-17-0054"/>
    <n v="54"/>
    <d v="2019-03-08T00:00:00"/>
    <d v="2019-03-08T00:00:00"/>
    <s v="1 Día"/>
    <n v="48"/>
    <n v="1"/>
    <x v="8"/>
    <x v="1"/>
    <x v="2"/>
    <s v="Morelos "/>
    <n v="20"/>
    <x v="1"/>
    <s v="Tepoztlán"/>
    <s v="Chisco"/>
    <m/>
    <n v="18"/>
    <n v="56"/>
    <n v="45.19"/>
    <n v="99"/>
    <n v="3"/>
    <n v="25.49"/>
    <s v="N 18° 56' 45.19'' W 99° 03' 25.49''"/>
    <n v="1437"/>
    <n v="0"/>
    <n v="0"/>
    <n v="6.49"/>
    <n v="15"/>
    <n v="0"/>
    <n v="0"/>
    <n v="21.490000000000002"/>
    <n v="381.58999999999992"/>
    <n v="7.06648148148148"/>
    <s v="Fijo"/>
    <s v="CONAFOR"/>
    <x v="3"/>
    <x v="3"/>
    <s v="Comunal"/>
    <s v="Conservación "/>
    <d v="2019-03-08T12:20:00"/>
    <d v="2019-03-08T12:25:00"/>
    <d v="2019-03-08T12:30:00"/>
    <d v="2019-03-08T13:10:00"/>
    <d v="2019-03-08T13:15:00"/>
    <m/>
    <d v="2019-03-08T16:30:00"/>
    <d v="2019-03-08T18:00:00"/>
    <d v="2019-03-08T19:00:00"/>
    <d v="1899-12-30T05:40:00"/>
    <d v="1899-12-30T00:05:00"/>
    <d v="1899-12-30T00:45:00"/>
    <d v="1899-12-30T05:40:00"/>
    <n v="0.6"/>
    <n v="0.8"/>
    <n v="0"/>
    <n v="0"/>
    <n v="0.5"/>
    <n v="0"/>
    <n v="0"/>
    <n v="1"/>
    <n v="0"/>
    <s v="Margarito Rodriguez Rodriguez "/>
    <n v="0"/>
    <n v="0"/>
    <n v="1"/>
    <n v="0"/>
    <n v="0"/>
    <n v="0"/>
    <n v="0"/>
    <n v="0"/>
    <s v="PC Tepoztlán "/>
    <n v="1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22"/>
    <n v="695"/>
    <n v="22"/>
    <n v="0"/>
    <n v="3830"/>
    <n v="2604"/>
    <n v="6434"/>
    <n v="380"/>
    <n v="6814"/>
    <s v="Sin dato"/>
    <s v="Sin dato"/>
    <s v="Sin dato"/>
    <s v="Sin dato"/>
    <s v="Superficial "/>
    <s v="Minimo"/>
    <s v="Selva Baja Caducifolia "/>
    <s v="SBC"/>
    <s v="Corredor Biológico Chichinautzin "/>
    <s v="No aplica "/>
    <s v="CBC"/>
    <n v="0"/>
    <n v="0"/>
    <n v="0.79"/>
    <n v="3"/>
    <n v="0"/>
    <n v="0"/>
    <n v="3.79"/>
  </r>
  <r>
    <s v="19-17-0055"/>
    <n v="55"/>
    <d v="2019-03-08T00:00:00"/>
    <d v="2019-03-08T00:00:00"/>
    <s v="1 Día"/>
    <n v="49"/>
    <n v="1"/>
    <x v="8"/>
    <x v="1"/>
    <x v="2"/>
    <s v="Morelos "/>
    <n v="9"/>
    <x v="0"/>
    <s v="Huitzilac "/>
    <s v="Cruz del Niño"/>
    <s v="Nor - Poniente "/>
    <n v="19"/>
    <n v="4"/>
    <n v="31.12"/>
    <n v="99"/>
    <n v="15"/>
    <n v="54.04"/>
    <s v="N 19° 04' 31.12'' W 99° 15' 54.04''"/>
    <n v="2920"/>
    <n v="0"/>
    <n v="0"/>
    <n v="1"/>
    <n v="1.22"/>
    <n v="2"/>
    <n v="0"/>
    <n v="4.22"/>
    <n v="385.80999999999995"/>
    <n v="7.0147272727272716"/>
    <s v="Fijo"/>
    <s v="Municipios"/>
    <x v="6"/>
    <x v="1"/>
    <s v="Comunal"/>
    <s v="Conservación "/>
    <d v="2019-03-08T13:50:00"/>
    <d v="2019-03-08T13:55:00"/>
    <d v="2019-03-08T14:00:00"/>
    <d v="2019-03-08T15:20:00"/>
    <d v="2019-03-08T15:25:00"/>
    <m/>
    <d v="2019-03-08T18:00:00"/>
    <d v="2019-03-08T19:05:00"/>
    <d v="2019-03-08T20:30:00"/>
    <d v="1899-12-30T05:15:00"/>
    <d v="1899-12-30T00:05:00"/>
    <d v="1899-12-30T01:25:00"/>
    <d v="1899-12-30T05:15:00"/>
    <n v="0.6"/>
    <n v="0.4"/>
    <n v="0"/>
    <n v="0"/>
    <n v="0.5"/>
    <n v="0"/>
    <n v="0.8"/>
    <n v="0.9"/>
    <n v="0"/>
    <s v="Federico Galeana Simeon"/>
    <n v="0"/>
    <n v="1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03"/>
    <n v="8"/>
    <n v="0"/>
    <n v="3064"/>
    <n v="0"/>
    <n v="3064"/>
    <n v="209"/>
    <n v="3273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1"/>
    <n v="1.22"/>
    <n v="2"/>
    <n v="0"/>
    <n v="4.22"/>
  </r>
  <r>
    <s v="19-17-0056"/>
    <n v="56"/>
    <d v="2019-03-09T00:00:00"/>
    <d v="2019-03-09T00:00:00"/>
    <s v="1 Día"/>
    <n v="50"/>
    <n v="1"/>
    <x v="8"/>
    <x v="3"/>
    <x v="2"/>
    <s v="Morelos "/>
    <n v="9"/>
    <x v="0"/>
    <s v="Huitzilac "/>
    <s v="km 7 de la carretera Cuernavaca - Zempoala "/>
    <s v="Sur "/>
    <n v="19"/>
    <n v="1"/>
    <n v="25.1"/>
    <n v="99"/>
    <n v="17"/>
    <n v="2.6"/>
    <s v="N 19° 01' 25.10'' W 99° 17' 02.60''"/>
    <n v="2550"/>
    <n v="0"/>
    <n v="0"/>
    <n v="0"/>
    <n v="0"/>
    <n v="0.9"/>
    <n v="0"/>
    <n v="0.9"/>
    <n v="386.70999999999992"/>
    <n v="6.9055357142857128"/>
    <s v="Fijo"/>
    <s v="CONAFOR"/>
    <x v="2"/>
    <x v="6"/>
    <s v="Comunal"/>
    <s v="Conservación "/>
    <d v="2019-03-09T15:10:00"/>
    <d v="2019-03-09T15:20:00"/>
    <d v="2019-03-09T15:25:00"/>
    <d v="2019-03-09T16:10:00"/>
    <d v="2019-03-09T16:15:00"/>
    <m/>
    <d v="2019-03-09T17:00:00"/>
    <d v="2019-03-09T17:50:00"/>
    <d v="2019-03-09T18:40:00"/>
    <d v="1899-12-30T02:40:00"/>
    <d v="1899-12-30T00:10:00"/>
    <d v="1899-12-30T00:50:00"/>
    <d v="1899-12-30T02:40:00"/>
    <n v="0.05"/>
    <n v="0.5"/>
    <n v="0"/>
    <n v="0"/>
    <n v="0.15"/>
    <n v="0"/>
    <n v="0.1"/>
    <n v="0.8"/>
    <n v="0"/>
    <s v="Florencio Pacheco Vargas "/>
    <n v="1"/>
    <n v="0"/>
    <n v="0"/>
    <n v="0"/>
    <n v="0"/>
    <n v="0"/>
    <n v="0"/>
    <n v="0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10"/>
    <n v="7"/>
    <n v="0"/>
    <n v="2681"/>
    <n v="0"/>
    <n v="2681"/>
    <n v="152"/>
    <n v="2833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0"/>
    <n v="0"/>
    <n v="0.9"/>
    <n v="0"/>
    <n v="0.9"/>
  </r>
  <r>
    <s v="19-17-0057"/>
    <n v="57"/>
    <d v="2019-03-09T00:00:00"/>
    <d v="2019-03-09T00:00:00"/>
    <s v="1 Día"/>
    <n v="51"/>
    <n v="1"/>
    <x v="8"/>
    <x v="3"/>
    <x v="2"/>
    <s v="Morelos "/>
    <n v="9"/>
    <x v="0"/>
    <s v="Huitzilac "/>
    <s v="km 55 de la carretera federal México – Cuernavaca "/>
    <m/>
    <n v="19"/>
    <n v="1"/>
    <n v="45.3"/>
    <n v="99"/>
    <n v="13"/>
    <n v="32.4"/>
    <s v="N 19° 01' 45.30'' W 99° 13' 32.40''"/>
    <n v="2625"/>
    <n v="0"/>
    <n v="0"/>
    <n v="0.5"/>
    <n v="0"/>
    <n v="0"/>
    <n v="0"/>
    <n v="0.5"/>
    <n v="387.20999999999992"/>
    <n v="6.793157894736841"/>
    <s v="Fijo"/>
    <s v="Municipios"/>
    <x v="5"/>
    <x v="1"/>
    <s v="Comunal"/>
    <s v="Conservación "/>
    <d v="2019-03-09T15:40:00"/>
    <d v="2019-03-09T15:45:00"/>
    <d v="2019-03-09T15:50:00"/>
    <d v="2019-03-09T16:15:00"/>
    <d v="2019-03-09T16:20:00"/>
    <m/>
    <d v="2019-03-09T17:00:00"/>
    <d v="2019-03-09T17:35:00"/>
    <d v="2019-03-09T19:00:00"/>
    <d v="1899-12-30T01:55:00"/>
    <d v="1899-12-30T00:05:00"/>
    <d v="1899-12-30T00:30:00"/>
    <d v="1899-12-30T01:55:00"/>
    <n v="0.05"/>
    <n v="0.04"/>
    <n v="0"/>
    <n v="0"/>
    <n v="0.04"/>
    <n v="0"/>
    <n v="0"/>
    <n v="0.01"/>
    <n v="0"/>
    <s v="Teodoro Rea Martinez"/>
    <n v="0"/>
    <n v="0"/>
    <n v="0"/>
    <n v="1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18"/>
    <n v="8"/>
    <n v="0"/>
    <n v="3064"/>
    <n v="0"/>
    <n v="3064"/>
    <n v="133"/>
    <n v="3197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0.5"/>
    <n v="0"/>
    <n v="0"/>
    <n v="0"/>
    <n v="0.5"/>
  </r>
  <r>
    <s v="19-17-0058"/>
    <n v="58"/>
    <d v="2019-03-09T00:00:00"/>
    <d v="2019-03-09T00:00:00"/>
    <s v="1 Día"/>
    <n v="52"/>
    <n v="1"/>
    <x v="8"/>
    <x v="3"/>
    <x v="2"/>
    <s v="Morelos "/>
    <n v="20"/>
    <x v="1"/>
    <s v="Santa Catarina "/>
    <s v="Tlalcotlalpan "/>
    <m/>
    <n v="18"/>
    <n v="59"/>
    <n v="13.6"/>
    <n v="99"/>
    <n v="10"/>
    <n v="42.2"/>
    <s v="N 18° 59' 13.60'' W 99° 10' 42.20''"/>
    <n v="1826"/>
    <n v="0"/>
    <n v="0"/>
    <n v="0.3"/>
    <n v="0.6"/>
    <n v="0"/>
    <n v="0"/>
    <n v="0.89999999999999991"/>
    <n v="388.1099999999999"/>
    <n v="6.6915517241379296"/>
    <s v="Fijo"/>
    <s v="Central 44"/>
    <x v="3"/>
    <x v="3"/>
    <s v="Comunal"/>
    <s v="Conservación "/>
    <d v="2019-03-09T16:00:00"/>
    <d v="2019-03-09T16:05:00"/>
    <d v="2019-03-09T16:10:00"/>
    <d v="2019-03-09T16:40:00"/>
    <d v="2019-03-09T16:45:00"/>
    <m/>
    <d v="2019-03-09T18:30:00"/>
    <d v="2019-03-09T19:20:00"/>
    <d v="2019-03-09T20:00:00"/>
    <d v="1899-12-30T03:20:00"/>
    <d v="1899-12-30T00:05:00"/>
    <d v="1899-12-30T00:35:00"/>
    <d v="1899-12-30T03:20:00"/>
    <n v="0.05"/>
    <n v="0.1"/>
    <n v="0"/>
    <n v="0"/>
    <n v="0.2"/>
    <n v="0"/>
    <n v="0"/>
    <n v="0"/>
    <n v="0"/>
    <s v="Margarito Rodriguez Rodriguez "/>
    <n v="0"/>
    <n v="0"/>
    <n v="1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27"/>
    <n v="9"/>
    <n v="0"/>
    <n v="3447"/>
    <n v="0"/>
    <n v="3447"/>
    <n v="190"/>
    <n v="3637"/>
    <s v="Sin dato"/>
    <s v="Sin dato"/>
    <s v="Sin dato"/>
    <s v="Sin dato"/>
    <s v="Mixto"/>
    <s v="Minimo"/>
    <s v="Selva Baja Caducifolia "/>
    <s v="SBC"/>
    <s v="Parque Nacional El Tepozteco "/>
    <s v="Corredor Biológico Chichinautzin "/>
    <s v="PNTP - CBC"/>
    <n v="0"/>
    <n v="0"/>
    <n v="0.3"/>
    <n v="0.6"/>
    <n v="0"/>
    <n v="0"/>
    <n v="0.89999999999999991"/>
  </r>
  <r>
    <s v="19-17-0059"/>
    <n v="59"/>
    <d v="2019-03-10T00:00:00"/>
    <d v="2019-03-10T00:00:00"/>
    <s v="1 Día"/>
    <n v="53"/>
    <n v="1"/>
    <x v="8"/>
    <x v="5"/>
    <x v="2"/>
    <s v="Morelos "/>
    <n v="20"/>
    <x v="1"/>
    <s v="Santa Catarina "/>
    <s v="Los Guayabos "/>
    <s v="Poniente"/>
    <n v="18"/>
    <n v="58"/>
    <n v="0.6"/>
    <n v="99"/>
    <n v="9"/>
    <n v="52.9"/>
    <s v="N 18° 58' 00.60'' W 99° 09' 52.90''"/>
    <n v="1628"/>
    <n v="0"/>
    <n v="0"/>
    <n v="0.3"/>
    <n v="0.4"/>
    <n v="0"/>
    <n v="0"/>
    <n v="0.7"/>
    <n v="388.80999999999989"/>
    <n v="6.5899999999999981"/>
    <s v="Fijo"/>
    <s v="CONAFOR"/>
    <x v="3"/>
    <x v="3"/>
    <s v="Comunal"/>
    <s v="Conservación "/>
    <d v="2019-03-10T11:50:00"/>
    <d v="2019-03-10T11:55:00"/>
    <d v="2019-03-10T12:00:00"/>
    <d v="2019-03-10T13:05:00"/>
    <d v="2019-03-10T13:10:00"/>
    <m/>
    <d v="2019-03-10T14:00:00"/>
    <d v="2019-03-10T14:30:00"/>
    <d v="2019-03-10T15:30:00"/>
    <d v="1899-12-30T02:40:00"/>
    <d v="1899-12-30T00:05:00"/>
    <d v="1899-12-30T01:10:00"/>
    <d v="1899-12-30T02:40:00"/>
    <n v="0.1"/>
    <n v="0"/>
    <n v="0"/>
    <n v="0.05"/>
    <n v="0.1"/>
    <n v="0"/>
    <n v="0.2"/>
    <n v="0.3"/>
    <n v="0"/>
    <s v="Federico Galeana Simeon"/>
    <n v="0"/>
    <n v="1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35"/>
    <n v="8"/>
    <n v="0"/>
    <n v="3064"/>
    <n v="0"/>
    <n v="3064"/>
    <n v="209"/>
    <n v="3273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.3"/>
    <n v="0.4"/>
    <n v="0"/>
    <n v="0"/>
    <n v="0.7"/>
  </r>
  <r>
    <s v="19-17-0060"/>
    <n v="60"/>
    <d v="2019-03-10T00:00:00"/>
    <d v="2019-03-10T00:00:00"/>
    <s v="1 Día"/>
    <n v="54"/>
    <n v="1"/>
    <x v="8"/>
    <x v="5"/>
    <x v="2"/>
    <s v="Morelos "/>
    <n v="20"/>
    <x v="1"/>
    <s v="Santa Catarina "/>
    <s v="Tlalcotlalpan "/>
    <m/>
    <n v="18"/>
    <n v="59"/>
    <n v="5.12"/>
    <n v="99"/>
    <n v="10"/>
    <n v="42.95"/>
    <s v="N 18° 59' 05.12'' W 99° 10' 42.95''"/>
    <n v="1783"/>
    <n v="0"/>
    <n v="0"/>
    <n v="0"/>
    <n v="2.83"/>
    <n v="0"/>
    <n v="0"/>
    <n v="2.83"/>
    <n v="391.63999999999987"/>
    <n v="6.5273333333333312"/>
    <s v="Fijo"/>
    <s v="CONAFOR"/>
    <x v="3"/>
    <x v="3"/>
    <s v="Comunal"/>
    <s v="Conservación "/>
    <d v="2019-03-10T12:50:00"/>
    <d v="2019-03-10T12:55:00"/>
    <d v="2019-03-10T13:00:00"/>
    <d v="2019-03-10T13:50:00"/>
    <d v="2019-03-10T14:10:00"/>
    <m/>
    <d v="2019-03-10T17:00:00"/>
    <d v="2019-03-10T17:30:00"/>
    <d v="2019-03-10T19:30:00"/>
    <d v="1899-12-30T04:40:00"/>
    <d v="1899-12-30T00:05:00"/>
    <d v="1899-12-30T00:55:00"/>
    <d v="1899-12-30T04:40:00"/>
    <n v="0.1"/>
    <n v="0.2"/>
    <n v="0"/>
    <n v="0"/>
    <n v="0.05"/>
    <n v="0"/>
    <n v="0"/>
    <n v="1.8"/>
    <n v="0"/>
    <s v="Rogelio Galeana Martinez"/>
    <n v="1"/>
    <n v="0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44"/>
    <n v="9"/>
    <n v="0"/>
    <n v="3447"/>
    <n v="0"/>
    <n v="3447"/>
    <n v="190"/>
    <n v="3637"/>
    <s v="Sin dato"/>
    <s v="Sin dato"/>
    <s v="Sin dato"/>
    <s v="Sin dato"/>
    <s v="Mixto"/>
    <s v="Minimo"/>
    <s v="Selva Baja Caducifolia "/>
    <s v="SBC"/>
    <s v="Parque Nacional El Tepozteco "/>
    <s v="Corredor Biológico Chichinautzin "/>
    <s v="PNTP - CBC"/>
    <n v="0"/>
    <n v="0"/>
    <n v="0"/>
    <n v="2.83"/>
    <n v="0"/>
    <n v="0"/>
    <n v="2.83"/>
  </r>
  <r>
    <s v="19-17-0061"/>
    <n v="61"/>
    <d v="2019-03-10T00:00:00"/>
    <d v="2019-03-10T00:00:00"/>
    <s v="1 Día"/>
    <n v="55"/>
    <n v="1"/>
    <x v="8"/>
    <x v="5"/>
    <x v="2"/>
    <s v="Morelos "/>
    <n v="15"/>
    <x v="7"/>
    <s v="Miacatlan "/>
    <s v="Ajuchitlan "/>
    <s v="Sur"/>
    <n v="18"/>
    <n v="54"/>
    <n v="32.69"/>
    <n v="99"/>
    <n v="20"/>
    <n v="39.299999999999997"/>
    <s v="N 18° 54' 32.69'' W 99° 20' 39.30''"/>
    <n v="1704"/>
    <n v="0"/>
    <n v="0"/>
    <n v="0"/>
    <n v="5.87"/>
    <n v="0"/>
    <n v="0"/>
    <n v="5.87"/>
    <n v="397.50999999999988"/>
    <n v="6.5165573770491783"/>
    <s v="Fijo"/>
    <s v="CONAFOR"/>
    <x v="3"/>
    <x v="4"/>
    <s v="Comunal"/>
    <s v="Conservación "/>
    <d v="2019-03-10T14:15:00"/>
    <d v="2019-03-10T14:20:00"/>
    <d v="2019-03-10T14:23:00"/>
    <d v="2019-03-10T15:30:00"/>
    <d v="2019-03-10T15:35:00"/>
    <m/>
    <d v="2019-03-10T18:30:00"/>
    <d v="2019-03-10T19:30:00"/>
    <d v="2019-03-10T20:30:00"/>
    <d v="1899-12-30T05:15:00"/>
    <d v="1899-12-30T00:05:00"/>
    <d v="1899-12-30T01:10:00"/>
    <d v="1899-12-30T05:15:00"/>
    <n v="1"/>
    <n v="0.6"/>
    <n v="0"/>
    <n v="0"/>
    <n v="0.8"/>
    <n v="0"/>
    <n v="0"/>
    <n v="1.9"/>
    <n v="0"/>
    <s v="Teodoro Rea Martinez"/>
    <n v="0"/>
    <n v="0"/>
    <n v="0"/>
    <n v="1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52"/>
    <n v="8"/>
    <n v="0"/>
    <n v="3064"/>
    <n v="0"/>
    <n v="3064"/>
    <n v="342"/>
    <n v="3406"/>
    <s v="Sin dato"/>
    <s v="Sin dato"/>
    <s v="Sin dato"/>
    <s v="Sin dato"/>
    <s v="Superficial "/>
    <s v="Minimo"/>
    <s v="Pastizal Natural "/>
    <s v="PN"/>
    <s v="Fuera ANP"/>
    <s v="No aplica "/>
    <s v="FANP"/>
    <n v="0"/>
    <n v="0"/>
    <n v="0"/>
    <n v="0"/>
    <n v="0"/>
    <n v="0"/>
    <n v="0"/>
  </r>
  <r>
    <s v="19-17-0062"/>
    <n v="62"/>
    <d v="2019-03-11T00:00:00"/>
    <d v="2019-03-11T00:00:00"/>
    <s v="1 Día"/>
    <n v="56"/>
    <n v="1"/>
    <x v="8"/>
    <x v="6"/>
    <x v="2"/>
    <s v="Morelos "/>
    <n v="20"/>
    <x v="1"/>
    <s v="Santa Catarina "/>
    <s v="Texilaca "/>
    <m/>
    <n v="18"/>
    <n v="57"/>
    <n v="19.829999999999998"/>
    <n v="99"/>
    <n v="10"/>
    <n v="21.43"/>
    <s v="N 18° 57' 19.83'' W 99° 10' 21.43''"/>
    <n v="1617"/>
    <n v="0"/>
    <n v="0"/>
    <n v="0"/>
    <n v="1.29"/>
    <n v="0"/>
    <n v="0"/>
    <n v="1.29"/>
    <n v="398.7999999999999"/>
    <n v="6.4322580645161276"/>
    <s v="Fijo"/>
    <s v="CONAFOR"/>
    <x v="2"/>
    <x v="2"/>
    <s v="Comunal"/>
    <s v="Conservación "/>
    <d v="2019-03-11T12:00:00"/>
    <d v="2019-03-11T12:05:00"/>
    <d v="2019-03-11T12:10:00"/>
    <d v="2019-03-11T13:00:00"/>
    <d v="2019-03-11T13:05:00"/>
    <m/>
    <d v="2019-03-11T16:00:00"/>
    <d v="2019-03-11T18:00:00"/>
    <d v="2019-03-11T19:00:00"/>
    <d v="1899-12-30T06:00:00"/>
    <d v="1899-12-30T00:05:00"/>
    <d v="1899-12-30T00:55:00"/>
    <d v="1899-12-30T06:00:00"/>
    <n v="0.5"/>
    <n v="0.8"/>
    <n v="0"/>
    <n v="0"/>
    <n v="0.4"/>
    <n v="0"/>
    <n v="0"/>
    <n v="0"/>
    <n v="0"/>
    <s v="Margarito Rodriguez Rodriguez "/>
    <n v="0"/>
    <n v="0"/>
    <n v="1"/>
    <n v="0"/>
    <n v="0"/>
    <n v="0"/>
    <n v="0"/>
    <n v="0"/>
    <m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62"/>
    <n v="10"/>
    <n v="0"/>
    <n v="3830"/>
    <n v="0"/>
    <n v="3830"/>
    <n v="190"/>
    <n v="4020"/>
    <s v="Sin dato"/>
    <s v="Sin dato"/>
    <s v="Sin dato"/>
    <s v="Sin dato"/>
    <s v="Superficial "/>
    <s v="Minimo"/>
    <s v="Selva Baja Caducifolia "/>
    <s v="SBC"/>
    <s v="Parque Nacional El Tepozteco "/>
    <s v="No aplica "/>
    <s v="PNTP"/>
    <n v="0"/>
    <n v="0"/>
    <n v="0"/>
    <n v="1.29"/>
    <n v="0"/>
    <n v="0"/>
    <n v="1.29"/>
  </r>
  <r>
    <s v="19-17-0063"/>
    <n v="63"/>
    <d v="2019-03-12T00:00:00"/>
    <d v="2019-03-12T00:00:00"/>
    <s v="1 Día"/>
    <n v="57"/>
    <n v="1"/>
    <x v="8"/>
    <x v="4"/>
    <x v="2"/>
    <s v="Morelos "/>
    <n v="20"/>
    <x v="1"/>
    <s v="Santa Catarina "/>
    <s v="Los Guayabos "/>
    <m/>
    <n v="18"/>
    <n v="57"/>
    <n v="44.99"/>
    <n v="99"/>
    <n v="10"/>
    <n v="0.12"/>
    <s v="N 18° 57' 44.99'' W 99° 10' 00.12''"/>
    <n v="1627"/>
    <n v="0"/>
    <n v="0"/>
    <n v="3.63"/>
    <n v="6"/>
    <n v="0"/>
    <n v="0"/>
    <n v="9.629999999999999"/>
    <n v="408.42999999999989"/>
    <n v="6.4830158730158711"/>
    <s v="Fijo"/>
    <s v="CONAFOR"/>
    <x v="2"/>
    <x v="2"/>
    <s v="Comunal"/>
    <s v="Conservación "/>
    <d v="2019-03-12T11:20:00"/>
    <d v="2019-03-12T11:25:00"/>
    <d v="2019-03-12T11:30:00"/>
    <d v="2019-03-12T12:40:00"/>
    <d v="2019-03-12T12:50:00"/>
    <m/>
    <d v="2019-03-12T15:00:00"/>
    <d v="2019-03-12T16:20:00"/>
    <m/>
    <d v="1899-12-30T05:00:00"/>
    <d v="1899-12-30T00:05:00"/>
    <d v="1899-12-30T01:15:00"/>
    <d v="1899-12-30T05:00:00"/>
    <n v="0.5"/>
    <n v="1"/>
    <n v="0"/>
    <n v="0"/>
    <n v="1.3"/>
    <n v="0"/>
    <n v="0.6"/>
    <n v="1"/>
    <n v="0"/>
    <s v="Rogelio Galeana Martinez"/>
    <n v="1"/>
    <n v="0"/>
    <n v="0"/>
    <n v="0"/>
    <n v="0"/>
    <n v="0"/>
    <n v="0"/>
    <n v="0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69"/>
    <n v="7"/>
    <n v="0"/>
    <n v="2681"/>
    <n v="0"/>
    <n v="2681"/>
    <n v="139.93"/>
    <n v="2820.93"/>
    <s v="Sin dato"/>
    <s v="Sin dato"/>
    <s v="Sin dato"/>
    <s v="Sin dato"/>
    <s v="Superficial "/>
    <s v="Minimo"/>
    <s v="Selva Baja Caducifolia "/>
    <s v="SBC"/>
    <s v="Parque Nacional El Tepozteco "/>
    <s v="No aplica "/>
    <s v="PNT"/>
    <n v="0"/>
    <n v="0"/>
    <n v="3.63"/>
    <n v="6"/>
    <n v="0"/>
    <n v="0"/>
    <n v="9.629999999999999"/>
  </r>
  <r>
    <s v="19-17-0064"/>
    <n v="64"/>
    <d v="2019-03-12T00:00:00"/>
    <d v="2019-03-12T00:00:00"/>
    <s v="1 Día"/>
    <n v="58"/>
    <n v="1"/>
    <x v="8"/>
    <x v="4"/>
    <x v="2"/>
    <s v="Morelos "/>
    <n v="9"/>
    <x v="0"/>
    <s v="Huitzilac "/>
    <s v="Joyas del Diablo "/>
    <m/>
    <n v="19"/>
    <n v="4"/>
    <n v="35.9"/>
    <n v="99"/>
    <n v="14"/>
    <n v="52.1"/>
    <s v="N 19° 04' 35.90'' W 99° 14' 52.10''"/>
    <n v="2885"/>
    <n v="0"/>
    <n v="0"/>
    <n v="0"/>
    <n v="0.9"/>
    <n v="0"/>
    <n v="0"/>
    <n v="0.9"/>
    <n v="409.32999999999987"/>
    <n v="6.395781249999998"/>
    <s v="Fijo"/>
    <s v="CONAFOR"/>
    <x v="0"/>
    <x v="0"/>
    <s v="Comunal"/>
    <s v="Conservación "/>
    <d v="2019-03-12T12:33:00"/>
    <d v="2019-03-12T12:38:00"/>
    <d v="2019-03-12T12:40:00"/>
    <s v="12/03/219 13:30"/>
    <d v="2019-03-12T13:30:00"/>
    <m/>
    <d v="2019-03-12T14:30:00"/>
    <d v="2019-03-12T14:45:00"/>
    <m/>
    <d v="1899-12-30T02:15:00"/>
    <d v="1899-12-30T00:05:00"/>
    <d v="1899-12-30T00:52:00"/>
    <d v="1899-12-30T02:15:00"/>
    <n v="0.2"/>
    <n v="0.2"/>
    <n v="0"/>
    <n v="0"/>
    <n v="0.1"/>
    <n v="0"/>
    <n v="0"/>
    <n v="0.5"/>
    <n v="0"/>
    <s v="Margarito Rodriguez Rodriguez "/>
    <n v="0"/>
    <n v="0"/>
    <n v="1"/>
    <n v="0"/>
    <n v="0"/>
    <n v="0"/>
    <n v="0"/>
    <n v="0"/>
    <s v="PC Huitzilac "/>
    <n v="1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14"/>
    <n v="783"/>
    <n v="14"/>
    <n v="0"/>
    <n v="3830"/>
    <n v="868"/>
    <n v="4698"/>
    <n v="209"/>
    <n v="4907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0"/>
    <n v="0.9"/>
    <n v="0"/>
    <n v="0"/>
    <n v="0.9"/>
  </r>
  <r>
    <s v="19-17-0065"/>
    <n v="65"/>
    <d v="2019-03-12T00:00:00"/>
    <d v="2019-03-12T00:00:00"/>
    <s v="1 Día"/>
    <n v="59"/>
    <n v="1"/>
    <x v="8"/>
    <x v="4"/>
    <x v="2"/>
    <s v="Morelos "/>
    <n v="9"/>
    <x v="0"/>
    <s v="Huitzilac "/>
    <s v="El Tezontle"/>
    <s v="Nor - Poniente "/>
    <n v="19"/>
    <n v="3"/>
    <n v="25.61"/>
    <n v="99"/>
    <n v="15"/>
    <n v="51.27"/>
    <s v="N 19° 03' 25.61'' W 99° 15' 51.27''"/>
    <n v="2782"/>
    <n v="0"/>
    <n v="0"/>
    <n v="0"/>
    <n v="5.26"/>
    <n v="0"/>
    <n v="0"/>
    <n v="5.26"/>
    <n v="414.58999999999986"/>
    <n v="6.3783076923076898"/>
    <s v="Fijo"/>
    <s v="CONAFOR"/>
    <x v="0"/>
    <x v="0"/>
    <s v="Comunal"/>
    <s v="Conservación "/>
    <d v="2019-03-12T14:30:00"/>
    <d v="2019-03-12T14:35:00"/>
    <d v="2019-03-12T14:45:00"/>
    <d v="2019-03-12T15:00:00"/>
    <d v="2019-03-12T15:05:00"/>
    <m/>
    <d v="2019-03-12T16:40:00"/>
    <d v="2019-03-12T17:30:00"/>
    <d v="2019-03-12T19:00:00"/>
    <d v="1899-12-30T03:00:00"/>
    <d v="1899-12-30T00:05:00"/>
    <d v="1899-12-30T00:25:00"/>
    <d v="1899-12-30T03:00:00"/>
    <n v="0.5"/>
    <n v="1"/>
    <n v="0"/>
    <n v="0"/>
    <n v="0.7"/>
    <n v="0"/>
    <n v="0"/>
    <n v="1.2"/>
    <n v="0"/>
    <s v="Margarito Rodriguez Rodriguez "/>
    <n v="0"/>
    <n v="0"/>
    <n v="1"/>
    <n v="0"/>
    <n v="0"/>
    <n v="0"/>
    <n v="0"/>
    <n v="0"/>
    <s v="Brigada Contingencias"/>
    <n v="10"/>
    <n v="0"/>
    <n v="0"/>
    <n v="0"/>
    <n v="0"/>
    <n v="0"/>
    <n v="0"/>
    <n v="0"/>
    <n v="0"/>
    <n v="0"/>
    <n v="13"/>
    <n v="0"/>
    <n v="0"/>
    <n v="0"/>
    <n v="0"/>
    <n v="0"/>
    <n v="0"/>
    <n v="0"/>
    <n v="0"/>
    <n v="0"/>
    <n v="23"/>
    <n v="806"/>
    <n v="23"/>
    <n v="0"/>
    <n v="3830"/>
    <n v="2821"/>
    <n v="6651"/>
    <n v="247"/>
    <n v="6898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0"/>
    <n v="5.26"/>
    <n v="0"/>
    <n v="0"/>
    <n v="5.26"/>
  </r>
  <r>
    <s v="19-17-0066"/>
    <n v="66"/>
    <d v="2019-03-12T00:00:00"/>
    <d v="2019-03-12T00:00:00"/>
    <s v="1 Día"/>
    <n v="60"/>
    <n v="1"/>
    <x v="8"/>
    <x v="4"/>
    <x v="2"/>
    <s v="Morelos "/>
    <n v="9"/>
    <x v="0"/>
    <s v="Coajomulco"/>
    <s v="Cerro del Jardin"/>
    <s v="Sur"/>
    <n v="19"/>
    <n v="3"/>
    <n v="7.1"/>
    <n v="99"/>
    <n v="12"/>
    <n v="51.7"/>
    <s v="N 19° 03' 07.10'' W 99° 12' 51.70''"/>
    <n v="2967"/>
    <n v="0"/>
    <n v="0"/>
    <n v="0"/>
    <n v="0.8"/>
    <n v="0"/>
    <n v="0"/>
    <n v="0.8"/>
    <n v="415.38999999999987"/>
    <n v="6.2937878787878772"/>
    <s v="Fijo"/>
    <s v="CONAFOR"/>
    <x v="0"/>
    <x v="0"/>
    <s v="Comunal"/>
    <s v="Conservación "/>
    <d v="2019-03-12T17:20:00"/>
    <d v="2019-03-12T17:25:00"/>
    <d v="2019-03-12T17:30:00"/>
    <d v="2019-03-12T18:20:00"/>
    <d v="2019-03-12T18:30:00"/>
    <m/>
    <d v="2019-03-12T19:00:00"/>
    <d v="2019-03-12T19:40:00"/>
    <d v="2019-03-12T21:30:00"/>
    <d v="1899-12-30T02:20:00"/>
    <d v="1899-12-30T00:05:00"/>
    <d v="1899-12-30T00:55:00"/>
    <d v="1899-12-30T02:20:00"/>
    <n v="0.2"/>
    <n v="0.05"/>
    <n v="0"/>
    <n v="0"/>
    <n v="0.3"/>
    <n v="0"/>
    <n v="0"/>
    <n v="0.9"/>
    <n v="0"/>
    <s v="Rogelio Galeana Martinez"/>
    <n v="1"/>
    <n v="0"/>
    <n v="0"/>
    <n v="0"/>
    <n v="0"/>
    <n v="0"/>
    <n v="0"/>
    <n v="0"/>
    <s v="Voluntarios"/>
    <n v="7"/>
    <n v="0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15"/>
    <n v="821"/>
    <n v="7"/>
    <n v="8"/>
    <n v="2681"/>
    <n v="1736"/>
    <n v="4417"/>
    <n v="213.22"/>
    <n v="4630.22"/>
    <s v="Sin dato"/>
    <s v="Sin dato"/>
    <s v="Sin dato"/>
    <s v="Sin dato"/>
    <s v="Superficial "/>
    <s v="Minimo"/>
    <s v="Bosque de Pino "/>
    <s v="BP"/>
    <s v="Corredor Biológico Chichinautzin "/>
    <s v="No aplica "/>
    <s v="CBC"/>
    <n v="0"/>
    <n v="0"/>
    <n v="0"/>
    <n v="0.8"/>
    <n v="0"/>
    <n v="0"/>
    <n v="0.8"/>
  </r>
  <r>
    <s v="19-17-0067"/>
    <n v="67"/>
    <d v="2019-03-14T00:00:00"/>
    <d v="2019-03-14T00:00:00"/>
    <s v="1 Día"/>
    <n v="61"/>
    <n v="1"/>
    <x v="8"/>
    <x v="2"/>
    <x v="2"/>
    <s v="Morelos "/>
    <n v="20"/>
    <x v="1"/>
    <s v="Santa Catarina "/>
    <s v="La Cañada "/>
    <s v="Oriente "/>
    <n v="18"/>
    <n v="58"/>
    <n v="2.12"/>
    <n v="99"/>
    <n v="10"/>
    <n v="34.89"/>
    <s v="N 18° 58' 02.12'' W 99° 10' 34.89''"/>
    <n v="1676"/>
    <n v="0"/>
    <n v="0"/>
    <n v="0.4"/>
    <n v="0.5"/>
    <n v="0"/>
    <n v="0"/>
    <n v="0.9"/>
    <n v="416.28999999999985"/>
    <n v="6.2132835820895496"/>
    <s v="Fijo"/>
    <s v="CONAFOR"/>
    <x v="2"/>
    <x v="2"/>
    <s v="Comunal"/>
    <s v="Conservación "/>
    <d v="2019-03-14T14:00:00"/>
    <d v="2019-03-14T14:05:00"/>
    <d v="2019-03-14T14:10:00"/>
    <d v="2019-03-14T14:50:00"/>
    <d v="2019-03-14T15:00:00"/>
    <m/>
    <d v="2019-03-14T16:00:00"/>
    <d v="2019-03-14T16:30:00"/>
    <d v="2019-03-14T17:30:00"/>
    <d v="1899-12-30T02:30:00"/>
    <d v="1899-12-30T00:05:00"/>
    <d v="1899-12-30T00:45:00"/>
    <d v="1899-12-30T02:30:00"/>
    <n v="0.3"/>
    <n v="0"/>
    <n v="0"/>
    <n v="0"/>
    <n v="0.3"/>
    <n v="0"/>
    <n v="0.2"/>
    <n v="0.5"/>
    <n v="0"/>
    <s v="Federico Galeana Simeon"/>
    <n v="0"/>
    <n v="1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30"/>
    <n v="9"/>
    <n v="0"/>
    <n v="3447"/>
    <n v="0"/>
    <n v="3447"/>
    <n v="134.59"/>
    <n v="3581.59"/>
    <s v="Sin dato"/>
    <s v="Sin dato"/>
    <s v="Sin dato"/>
    <s v="Sin dato"/>
    <s v="Superficial "/>
    <s v="Minimo"/>
    <s v="Selva Baja Caducifolia "/>
    <s v="SBC"/>
    <s v="Parque Nacional El Tepozteco "/>
    <s v="No aplica "/>
    <s v="PNT"/>
    <n v="0"/>
    <n v="0"/>
    <n v="0.4"/>
    <n v="0.5"/>
    <n v="0"/>
    <n v="0"/>
    <n v="0.9"/>
  </r>
  <r>
    <s v="19-17-0068"/>
    <n v="68"/>
    <d v="2019-03-14T00:00:00"/>
    <d v="2019-03-14T00:00:00"/>
    <s v="1 Día"/>
    <n v="62"/>
    <n v="1"/>
    <x v="8"/>
    <x v="2"/>
    <x v="2"/>
    <s v="Morelos "/>
    <n v="9"/>
    <x v="0"/>
    <s v="Huitzilac "/>
    <s v="Cuilotito"/>
    <m/>
    <n v="19"/>
    <n v="6"/>
    <n v="29.3"/>
    <n v="99"/>
    <n v="18"/>
    <n v="2"/>
    <s v="N 19° 06' 29.30'' W 99° 18' 02.00''"/>
    <n v="3160"/>
    <n v="0"/>
    <n v="0"/>
    <n v="0.4"/>
    <n v="0.4"/>
    <n v="0"/>
    <n v="0"/>
    <n v="0.8"/>
    <n v="417.08999999999986"/>
    <n v="6.1336764705882336"/>
    <s v="Fijo"/>
    <s v="CONAFOR"/>
    <x v="0"/>
    <x v="0"/>
    <s v="Comunal"/>
    <s v="Conservación "/>
    <d v="2019-03-14T14:35:00"/>
    <d v="2019-03-14T14:38:00"/>
    <d v="2019-03-14T14:40:00"/>
    <d v="2019-03-14T16:00:00"/>
    <d v="2019-03-14T16:05:00"/>
    <m/>
    <d v="2019-03-14T18:00:00"/>
    <d v="2019-03-14T19:00:00"/>
    <d v="2019-03-14T20:30:00"/>
    <d v="1899-12-30T04:25:00"/>
    <d v="1899-12-30T00:03:00"/>
    <d v="1899-12-30T01:22:00"/>
    <d v="1899-12-30T04:25:00"/>
    <n v="0.08"/>
    <n v="0.06"/>
    <n v="0"/>
    <n v="0"/>
    <n v="0.05"/>
    <n v="0"/>
    <n v="0"/>
    <n v="0.08"/>
    <n v="0"/>
    <s v="Teodoro Rea Martinez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39"/>
    <n v="9"/>
    <n v="0"/>
    <n v="3447"/>
    <n v="0"/>
    <n v="3447"/>
    <n v="429.11"/>
    <n v="3876.11"/>
    <s v="Sin dato"/>
    <s v="Sin dato"/>
    <s v="Sin dato"/>
    <s v="Sin dato"/>
    <s v="Superficial "/>
    <s v="Minimo"/>
    <s v="Bosque de Oyamel"/>
    <s v="BA"/>
    <s v="Corredor Biológico Chichinautzin "/>
    <s v="No aplica "/>
    <s v="CBC"/>
    <n v="0"/>
    <n v="0"/>
    <n v="0.4"/>
    <n v="0.4"/>
    <n v="0"/>
    <n v="0"/>
    <n v="0.8"/>
  </r>
  <r>
    <s v="19-17-0069"/>
    <n v="69"/>
    <d v="2019-03-15T00:00:00"/>
    <d v="2019-03-15T00:00:00"/>
    <s v="1 Día"/>
    <n v="63"/>
    <n v="1"/>
    <x v="9"/>
    <x v="1"/>
    <x v="2"/>
    <s v="Morelos "/>
    <n v="9"/>
    <x v="0"/>
    <s v="Huitzilac "/>
    <s v="Huertas de San Pedro "/>
    <m/>
    <n v="19"/>
    <n v="0"/>
    <n v="43.7"/>
    <n v="99"/>
    <n v="16"/>
    <n v="20.3"/>
    <s v="N 19° 00' 43.70'' W 99° 16' 20.30''"/>
    <n v="2279"/>
    <n v="0"/>
    <n v="0"/>
    <n v="0"/>
    <n v="0.3"/>
    <n v="0.6"/>
    <n v="0"/>
    <n v="0.89999999999999991"/>
    <n v="417.98999999999984"/>
    <n v="6.0578260869565197"/>
    <s v="Fijo"/>
    <s v="CONAFOR"/>
    <x v="5"/>
    <x v="1"/>
    <s v="Comunal"/>
    <s v="Conservación "/>
    <d v="2019-03-15T16:50:00"/>
    <d v="2019-03-15T16:55:00"/>
    <d v="2019-03-15T17:00:00"/>
    <d v="2019-03-15T17:30:00"/>
    <d v="2019-03-15T17:35:00"/>
    <m/>
    <d v="2019-03-15T18:30:00"/>
    <d v="2019-03-15T19:30:00"/>
    <d v="2019-03-15T20:00:00"/>
    <d v="1899-12-30T02:40:00"/>
    <d v="1899-12-30T00:05:00"/>
    <d v="1899-12-30T00:35:00"/>
    <d v="1899-12-30T02:40:00"/>
    <n v="0"/>
    <n v="0.3"/>
    <n v="0"/>
    <n v="0"/>
    <n v="0.2"/>
    <n v="0"/>
    <n v="0"/>
    <n v="0"/>
    <n v="0"/>
    <s v="Margarito Rodriguez Rodriguez "/>
    <n v="0"/>
    <n v="0"/>
    <n v="1"/>
    <n v="0"/>
    <n v="0"/>
    <n v="0"/>
    <n v="0"/>
    <n v="0"/>
    <s v="PC Huitzilac "/>
    <n v="1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13"/>
    <n v="852"/>
    <n v="13"/>
    <n v="0"/>
    <n v="3830"/>
    <n v="651"/>
    <n v="4481"/>
    <n v="107.94"/>
    <n v="4588.9399999999996"/>
    <s v="Sin dato"/>
    <s v="Sin dato"/>
    <s v="Sin dato"/>
    <s v="Sin dato"/>
    <s v="Superficial "/>
    <s v="Minimo"/>
    <s v="Bosque Mesofilo"/>
    <s v="BM"/>
    <s v="Corredor Biológico Chichinautzin "/>
    <s v="No aplica "/>
    <s v="CBC"/>
    <n v="0"/>
    <n v="0"/>
    <n v="0"/>
    <n v="0.3"/>
    <n v="0.6"/>
    <n v="0"/>
    <n v="0.89999999999999991"/>
  </r>
  <r>
    <s v="19-17-0070"/>
    <n v="70"/>
    <d v="2019-03-14T00:00:00"/>
    <d v="2019-03-17T00:00:00"/>
    <s v="2 o más Días"/>
    <n v="64"/>
    <n v="1"/>
    <x v="8"/>
    <x v="2"/>
    <x v="2"/>
    <s v="Morelos "/>
    <n v="23"/>
    <x v="2"/>
    <s v="Tlalnepantla"/>
    <s v="Ocotecatl"/>
    <m/>
    <n v="19"/>
    <n v="4"/>
    <n v="41.42"/>
    <n v="99"/>
    <n v="2"/>
    <n v="22.68"/>
    <s v="N 19° 04' 41.42'' W 99° 02' 22.68''"/>
    <n v="3238"/>
    <n v="0"/>
    <n v="9.34"/>
    <n v="30"/>
    <n v="30"/>
    <n v="0"/>
    <n v="0"/>
    <n v="69.34"/>
    <n v="487.32999999999981"/>
    <n v="6.9618571428571405"/>
    <s v="Fijo"/>
    <s v="CONAFOR"/>
    <x v="1"/>
    <x v="1"/>
    <s v="Comunal"/>
    <s v="Conservación "/>
    <d v="2019-03-14T20:14:00"/>
    <d v="2019-03-17T08:10:00"/>
    <d v="2019-03-17T08:15:00"/>
    <d v="2019-03-17T12:00:00"/>
    <d v="2019-03-17T12:05:00"/>
    <m/>
    <d v="2019-03-17T19:00:00"/>
    <d v="2019-03-17T20:50:00"/>
    <d v="2019-03-18T00:00:00"/>
    <d v="1900-01-02T00:36:00"/>
    <d v="1900-01-01T11:56:00"/>
    <d v="1899-12-30T03:50:00"/>
    <d v="1900-01-02T00:36:00"/>
    <n v="2"/>
    <n v="2.5"/>
    <n v="0"/>
    <n v="0"/>
    <n v="1"/>
    <n v="0"/>
    <n v="0.8"/>
    <n v="4"/>
    <n v="0"/>
    <s v="Rogelio Galeana Martinez"/>
    <n v="1"/>
    <n v="0"/>
    <n v="0"/>
    <n v="0"/>
    <n v="0"/>
    <n v="0"/>
    <n v="0"/>
    <n v="0"/>
    <s v="Tlacoyote CDMX Comunal "/>
    <n v="9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16"/>
    <n v="868"/>
    <n v="16"/>
    <n v="0"/>
    <n v="3447"/>
    <n v="1519"/>
    <n v="4966"/>
    <n v="1080"/>
    <n v="6046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3.75"/>
    <n v="20"/>
    <n v="20"/>
    <n v="0"/>
    <n v="0"/>
    <n v="43.75"/>
  </r>
  <r>
    <s v="19-17-0071"/>
    <n v="71"/>
    <d v="2019-03-17T00:00:00"/>
    <d v="2019-03-17T00:00:00"/>
    <s v="1 Día"/>
    <n v="65"/>
    <n v="1"/>
    <x v="9"/>
    <x v="5"/>
    <x v="2"/>
    <s v="Morelos "/>
    <n v="7"/>
    <x v="5"/>
    <s v="Ahuatepec "/>
    <s v="Villa Santiago"/>
    <s v="Norte "/>
    <n v="18"/>
    <n v="59"/>
    <n v="7.4"/>
    <n v="99"/>
    <n v="11"/>
    <n v="26.1"/>
    <s v="N 18° 59' 07.40'' W 99° 11' 26.10''"/>
    <n v="1871"/>
    <n v="0"/>
    <n v="0"/>
    <n v="0.4"/>
    <n v="0.5"/>
    <n v="0"/>
    <n v="0"/>
    <n v="0.9"/>
    <n v="488.22999999999979"/>
    <n v="6.8764788732394333"/>
    <s v="Fijo"/>
    <s v="CONAFOR"/>
    <x v="3"/>
    <x v="4"/>
    <s v="Comunal"/>
    <s v="Conservación "/>
    <d v="2019-03-17T14:50:00"/>
    <d v="2019-03-17T14:55:00"/>
    <d v="2019-03-17T15:00:00"/>
    <d v="2019-03-17T16:05:00"/>
    <d v="2019-03-17T16:10:00"/>
    <m/>
    <d v="2019-03-17T17:00:00"/>
    <d v="2019-03-17T17:15:00"/>
    <d v="2019-03-17T18:30:00"/>
    <d v="1899-12-30T02:25:00"/>
    <d v="1899-12-30T00:05:00"/>
    <d v="1899-12-30T01:10:00"/>
    <d v="1899-12-30T02:25:00"/>
    <n v="0.01"/>
    <n v="0.4"/>
    <n v="0"/>
    <n v="0"/>
    <n v="0.3"/>
    <n v="0"/>
    <n v="0.3"/>
    <n v="0.4"/>
    <n v="0"/>
    <s v="Federico Galeana Simeon"/>
    <n v="0"/>
    <n v="1"/>
    <n v="0"/>
    <n v="0"/>
    <n v="0"/>
    <n v="0"/>
    <n v="0"/>
    <n v="0"/>
    <s v="Bomberos Cuernavaca "/>
    <n v="8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11"/>
    <n v="879"/>
    <n v="11"/>
    <n v="0"/>
    <n v="3064"/>
    <n v="651"/>
    <n v="3715"/>
    <n v="228"/>
    <n v="3943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0.4"/>
    <n v="0.5"/>
    <n v="0"/>
    <n v="0"/>
    <n v="0.9"/>
  </r>
  <r>
    <s v="19-17-0072"/>
    <n v="72"/>
    <d v="2019-03-18T00:00:00"/>
    <d v="2019-03-18T00:00:00"/>
    <s v="1 Día"/>
    <n v="66"/>
    <n v="1"/>
    <x v="9"/>
    <x v="6"/>
    <x v="2"/>
    <s v="Morelos "/>
    <n v="20"/>
    <x v="1"/>
    <s v="Santa Catarina "/>
    <s v="Cauhacuhalmetla"/>
    <m/>
    <n v="18"/>
    <n v="58"/>
    <n v="59.73"/>
    <n v="99"/>
    <n v="9"/>
    <n v="2.0099999999999998"/>
    <s v="N 18° 58' 59.73'' W 99° 09' 02.01''"/>
    <n v="1748"/>
    <n v="0"/>
    <n v="0"/>
    <n v="0"/>
    <n v="0.76"/>
    <n v="2"/>
    <n v="0"/>
    <n v="2.76"/>
    <n v="490.98999999999978"/>
    <n v="6.8193055555555526"/>
    <s v="Fijo"/>
    <s v="CONAFOR"/>
    <x v="3"/>
    <x v="4"/>
    <s v="Comunal"/>
    <s v="Conservación "/>
    <d v="2019-03-18T12:30:00"/>
    <d v="2019-03-18T12:35:00"/>
    <d v="2019-03-18T12:40:00"/>
    <d v="2019-03-18T13:40:00"/>
    <d v="2019-03-18T13:45:00"/>
    <m/>
    <d v="2019-03-18T17:00:00"/>
    <d v="2019-03-18T18:00:00"/>
    <d v="2019-03-18T19:00:00"/>
    <d v="1899-12-30T05:30:00"/>
    <d v="1899-12-30T00:05:00"/>
    <d v="1899-12-30T01:05:00"/>
    <d v="1899-12-30T05:30:00"/>
    <n v="0.2"/>
    <n v="0.3"/>
    <n v="0"/>
    <n v="0"/>
    <n v="0.3"/>
    <n v="0"/>
    <n v="0"/>
    <n v="0"/>
    <n v="0"/>
    <s v="Margarito Rodriguez Rodriguez "/>
    <n v="0"/>
    <n v="0"/>
    <n v="1"/>
    <n v="0"/>
    <n v="0"/>
    <n v="0"/>
    <n v="0"/>
    <n v="0"/>
    <s v="PC Tepoztlán "/>
    <n v="9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17"/>
    <n v="896"/>
    <n v="17"/>
    <n v="0"/>
    <n v="3447"/>
    <n v="1736"/>
    <n v="5183"/>
    <n v="247"/>
    <n v="5430"/>
    <s v="Sin dato"/>
    <s v="Sin dato"/>
    <s v="Sin dato"/>
    <s v="Sin dato"/>
    <s v="Superficial "/>
    <s v="Minimo"/>
    <s v="Bosque de Encino"/>
    <s v="BQ"/>
    <s v="Parque Nacional El Tepozteco "/>
    <s v="No aplica "/>
    <s v="PNT"/>
    <n v="0"/>
    <n v="0"/>
    <n v="0"/>
    <n v="0.76"/>
    <n v="2"/>
    <n v="0"/>
    <n v="2.76"/>
  </r>
  <r>
    <s v="19-17-0073"/>
    <n v="73"/>
    <d v="2019-03-19T00:00:00"/>
    <d v="2019-03-19T00:00:00"/>
    <s v="1 Día"/>
    <n v="67"/>
    <n v="1"/>
    <x v="9"/>
    <x v="4"/>
    <x v="2"/>
    <s v="Morelos "/>
    <n v="20"/>
    <x v="1"/>
    <s v="Santa Catarina "/>
    <s v="km 8"/>
    <s v="Sur"/>
    <n v="18"/>
    <n v="58"/>
    <n v="14.81"/>
    <n v="99"/>
    <n v="10"/>
    <n v="28.68"/>
    <s v="N 18° 58' 14.81'' W 99° 10' 28.68''"/>
    <n v="1686"/>
    <n v="0"/>
    <n v="0"/>
    <n v="2.27"/>
    <n v="3"/>
    <n v="0"/>
    <n v="0"/>
    <n v="5.27"/>
    <n v="496.25999999999976"/>
    <n v="6.7980821917808187"/>
    <s v="Fijo"/>
    <s v="CONAFOR"/>
    <x v="2"/>
    <x v="2"/>
    <s v="Comunal"/>
    <s v="Conservación "/>
    <d v="2019-03-19T12:00:00"/>
    <d v="2019-03-19T12:05:00"/>
    <d v="2019-03-19T12:10:00"/>
    <d v="2019-03-19T13:15:00"/>
    <d v="2019-03-19T13:20:00"/>
    <m/>
    <d v="2019-03-19T15:30:00"/>
    <d v="2019-03-19T16:55:00"/>
    <d v="2019-03-19T19:00:00"/>
    <d v="1899-12-30T04:55:00"/>
    <d v="1899-12-30T00:05:00"/>
    <d v="1899-12-30T01:10:00"/>
    <d v="1899-12-30T04:55:00"/>
    <n v="0.2"/>
    <n v="0.8"/>
    <n v="0"/>
    <n v="0"/>
    <n v="0.8"/>
    <n v="0"/>
    <n v="0.3"/>
    <n v="0.9"/>
    <n v="0"/>
    <s v="Rogelio Galeana Martinez"/>
    <n v="1"/>
    <n v="0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05"/>
    <n v="9"/>
    <n v="0"/>
    <n v="3447"/>
    <n v="0"/>
    <n v="3447"/>
    <n v="209"/>
    <n v="3656"/>
    <s v="Sin dato"/>
    <s v="Sin dato"/>
    <s v="Sin dato"/>
    <s v="Sin dato"/>
    <s v="Superficial "/>
    <s v="Minimo"/>
    <s v="Selva Baja Caducifolia "/>
    <s v="SBC"/>
    <s v="Parque Nacional El Tepozteco "/>
    <s v="No aplica "/>
    <s v="PNT"/>
    <n v="0"/>
    <n v="0"/>
    <n v="2.27"/>
    <n v="3"/>
    <n v="0"/>
    <n v="0"/>
    <n v="5.27"/>
  </r>
  <r>
    <s v="19-17-0074"/>
    <n v="74"/>
    <d v="2019-03-20T00:00:00"/>
    <d v="2019-03-20T00:00:00"/>
    <s v="1 Día"/>
    <n v="68"/>
    <n v="1"/>
    <x v="9"/>
    <x v="0"/>
    <x v="2"/>
    <s v="Morelos "/>
    <n v="9"/>
    <x v="0"/>
    <s v="Huitzilac "/>
    <s v="Atescapa"/>
    <m/>
    <n v="19"/>
    <n v="2"/>
    <n v="34.729999999999997"/>
    <n v="99"/>
    <n v="18"/>
    <n v="30.51"/>
    <s v="N 19° 02' 34.73'' W 99° 18' 30.51''"/>
    <n v="2874"/>
    <n v="0"/>
    <n v="0"/>
    <n v="0.8"/>
    <n v="0.52"/>
    <n v="0"/>
    <n v="0"/>
    <n v="1.32"/>
    <n v="497.57999999999976"/>
    <n v="6.7240540540540508"/>
    <s v="Fijo"/>
    <s v="CONANP"/>
    <x v="3"/>
    <x v="3"/>
    <s v="Comunal"/>
    <s v="Predio Pago por Servicios Ambientales "/>
    <d v="2019-03-20T15:45:00"/>
    <d v="2019-03-20T15:50:00"/>
    <d v="2019-03-20T15:58:00"/>
    <d v="2019-03-20T16:18:00"/>
    <d v="2019-03-20T16:20:00"/>
    <m/>
    <d v="2019-03-20T17:30:00"/>
    <d v="2019-03-20T18:00:00"/>
    <d v="2019-03-20T18:20:00"/>
    <d v="1899-12-30T02:15:00"/>
    <d v="1899-12-30T00:05:00"/>
    <d v="1899-12-30T00:28:00"/>
    <d v="1899-12-30T02:15:00"/>
    <n v="0"/>
    <n v="0.5"/>
    <n v="0"/>
    <n v="0"/>
    <n v="0.3"/>
    <n v="0"/>
    <n v="0"/>
    <n v="0.6"/>
    <n v="0"/>
    <s v="Horacio Torres Agular"/>
    <n v="0"/>
    <n v="0"/>
    <n v="0"/>
    <n v="0"/>
    <n v="0"/>
    <n v="0"/>
    <n v="0"/>
    <n v="0"/>
    <s v="CONANP, PC Huitzilac"/>
    <n v="0"/>
    <n v="0"/>
    <n v="0"/>
    <n v="0"/>
    <n v="0"/>
    <n v="10"/>
    <n v="0"/>
    <n v="0"/>
    <n v="0"/>
    <n v="0"/>
    <n v="0"/>
    <n v="0"/>
    <n v="0"/>
    <n v="1"/>
    <n v="0"/>
    <n v="0"/>
    <n v="0"/>
    <n v="0"/>
    <n v="0"/>
    <n v="0"/>
    <n v="11"/>
    <n v="916"/>
    <n v="11"/>
    <n v="0"/>
    <n v="0"/>
    <n v="2387"/>
    <n v="2387"/>
    <n v="95"/>
    <n v="2482"/>
    <s v="Sin dato"/>
    <s v="Sin dato"/>
    <s v="Sin dato"/>
    <s v="Sin dato"/>
    <s v="Superficial "/>
    <s v="Minimo"/>
    <s v="Bosque Mesofilo"/>
    <s v="BM"/>
    <s v="Parque Nacional Lagunas de Zempoala "/>
    <s v="No aplica "/>
    <s v="PNLZ"/>
    <n v="0"/>
    <n v="0"/>
    <n v="0.8"/>
    <n v="0.52"/>
    <n v="0"/>
    <n v="0"/>
    <n v="1.32"/>
  </r>
  <r>
    <s v="19-17-0075"/>
    <n v="75"/>
    <d v="2019-03-21T00:00:00"/>
    <d v="2019-03-21T00:00:00"/>
    <s v="1 Día"/>
    <n v="69"/>
    <n v="1"/>
    <x v="9"/>
    <x v="2"/>
    <x v="2"/>
    <s v="Morelos "/>
    <n v="29"/>
    <x v="4"/>
    <s v="Yautepec"/>
    <s v="Las Tetillas"/>
    <s v="Oriente "/>
    <n v="18"/>
    <n v="52"/>
    <n v="34.130000000000003"/>
    <n v="99"/>
    <n v="5"/>
    <n v="48.93"/>
    <s v="N 18° 52' 34.13'' W 99° 05' 48.93''"/>
    <n v="1395"/>
    <n v="0"/>
    <n v="0"/>
    <n v="2"/>
    <n v="1.1100000000000001"/>
    <n v="0"/>
    <n v="0"/>
    <n v="3.1100000000000003"/>
    <n v="500.68999999999977"/>
    <n v="6.6758666666666633"/>
    <s v="Fijo"/>
    <s v="CONAFOR"/>
    <x v="3"/>
    <x v="4"/>
    <s v="Comunal"/>
    <s v="Conservación "/>
    <d v="2019-03-21T13:15:00"/>
    <d v="2019-03-21T13:20:00"/>
    <d v="2019-03-21T13:23:00"/>
    <d v="2019-03-21T14:36:00"/>
    <d v="2019-03-21T14:40:00"/>
    <m/>
    <d v="2019-03-21T18:00:00"/>
    <d v="2019-03-21T19:30:00"/>
    <d v="2019-03-21T20:30:00"/>
    <d v="1899-12-30T06:15:00"/>
    <d v="1899-12-30T00:05:00"/>
    <d v="1899-12-30T01:16:00"/>
    <d v="1899-12-30T06:15:00"/>
    <n v="0.2"/>
    <n v="0.8"/>
    <n v="0"/>
    <n v="0"/>
    <n v="0.3"/>
    <n v="0"/>
    <n v="0"/>
    <n v="0.9"/>
    <n v="0"/>
    <s v="Teodoro Rea Martinez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25"/>
    <n v="9"/>
    <n v="0"/>
    <n v="3447"/>
    <n v="0"/>
    <n v="3447"/>
    <n v="380"/>
    <n v="3827"/>
    <s v="Sin dato"/>
    <s v="Sin dato"/>
    <s v="Sin dato"/>
    <s v="Sin dato"/>
    <s v="Superficial "/>
    <s v="Minimo"/>
    <s v="Selva Baja Caducifolia "/>
    <s v="SBC"/>
    <s v="Reserva Estatal Sierra Montenegro "/>
    <s v="No aplica "/>
    <s v="RESM"/>
    <n v="0"/>
    <n v="0"/>
    <n v="2"/>
    <n v="1.1100000000000001"/>
    <n v="0"/>
    <n v="0"/>
    <n v="3.1100000000000003"/>
  </r>
  <r>
    <s v="19-17-0076"/>
    <n v="76"/>
    <d v="2019-03-22T00:00:00"/>
    <d v="2019-03-22T00:00:00"/>
    <s v="1 Día"/>
    <n v="70"/>
    <n v="1"/>
    <x v="10"/>
    <x v="1"/>
    <x v="2"/>
    <s v="Morelos "/>
    <n v="20"/>
    <x v="1"/>
    <s v="Santa Catarina "/>
    <s v="Los Guayabos "/>
    <s v="Poniente"/>
    <n v="18"/>
    <n v="57"/>
    <n v="50.35"/>
    <n v="99"/>
    <n v="10"/>
    <n v="20.83"/>
    <s v="N 18° 57' 50.35'' W 99° 10' 20.83''"/>
    <n v="1672"/>
    <n v="0"/>
    <n v="0"/>
    <n v="0.73"/>
    <n v="1"/>
    <n v="0"/>
    <n v="0"/>
    <n v="1.73"/>
    <n v="502.41999999999979"/>
    <n v="6.6107894736842079"/>
    <s v="Fijo"/>
    <s v="CONAFOR"/>
    <x v="2"/>
    <x v="2"/>
    <s v="Comunal"/>
    <s v="Conservación "/>
    <d v="2019-03-22T12:30:00"/>
    <d v="2019-03-22T12:35:00"/>
    <d v="2019-03-22T12:40:00"/>
    <d v="2019-03-22T13:30:00"/>
    <d v="2019-03-22T13:35:00"/>
    <m/>
    <d v="2019-03-22T16:00:00"/>
    <d v="2019-03-22T16:40:00"/>
    <d v="2019-03-22T17:30:00"/>
    <d v="1899-12-30T04:10:00"/>
    <d v="1899-12-30T00:05:00"/>
    <d v="1899-12-30T00:55:00"/>
    <d v="1899-12-30T04:10:00"/>
    <n v="0.2"/>
    <n v="0"/>
    <n v="0"/>
    <n v="0"/>
    <n v="0.3"/>
    <n v="0"/>
    <n v="0.3"/>
    <n v="0.5"/>
    <n v="0"/>
    <s v="Federico Galeana Simeon"/>
    <n v="0"/>
    <n v="1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933"/>
    <n v="8"/>
    <n v="0"/>
    <n v="3064"/>
    <n v="0"/>
    <n v="3064"/>
    <n v="139.93"/>
    <n v="3203.93"/>
    <s v="Sin dato"/>
    <s v="Sin dato"/>
    <s v="Sin dato"/>
    <s v="Sin dato"/>
    <s v="Superficial "/>
    <s v="Minimo"/>
    <s v="Selva Baja Caducifolia "/>
    <s v="SBC"/>
    <s v="Parque Nacional El Tepozteco "/>
    <s v="No aplica "/>
    <s v="PNT"/>
    <n v="0"/>
    <n v="0"/>
    <n v="0.73"/>
    <n v="1"/>
    <n v="0"/>
    <n v="0"/>
    <n v="1.73"/>
  </r>
  <r>
    <s v="19-17-0077"/>
    <n v="77"/>
    <d v="2019-03-22T00:00:00"/>
    <d v="2019-03-22T00:00:00"/>
    <s v="1 Día"/>
    <n v="71"/>
    <n v="1"/>
    <x v="10"/>
    <x v="1"/>
    <x v="2"/>
    <s v="Morelos "/>
    <n v="9"/>
    <x v="0"/>
    <s v="Huitzilac "/>
    <s v="Cañada del Muerto"/>
    <m/>
    <n v="19"/>
    <n v="4"/>
    <n v="12.07"/>
    <n v="99"/>
    <n v="18"/>
    <n v="59.97"/>
    <s v="N 19° 04' 12.07'' W 99° 18' 59.97''"/>
    <n v="2971"/>
    <n v="0"/>
    <n v="0"/>
    <n v="1"/>
    <n v="2"/>
    <n v="0"/>
    <n v="0"/>
    <n v="3"/>
    <n v="505.41999999999979"/>
    <n v="6.5638961038961012"/>
    <s v="Fijo"/>
    <s v="CONANP"/>
    <x v="1"/>
    <x v="1"/>
    <s v="Comunal"/>
    <s v="Conservación "/>
    <d v="2019-03-22T08:15:00"/>
    <d v="2019-03-22T08:20:00"/>
    <d v="2019-03-22T08:30:00"/>
    <d v="2019-03-22T08:40:00"/>
    <d v="2019-03-22T08:40:00"/>
    <m/>
    <d v="2019-03-22T17:00:00"/>
    <d v="2019-03-22T18:00:00"/>
    <d v="2019-03-22T18:20:00"/>
    <d v="1899-12-30T09:45:00"/>
    <d v="1899-12-30T00:05:00"/>
    <d v="1899-12-30T00:20:00"/>
    <d v="1899-12-30T09:45:00"/>
    <n v="0.3"/>
    <n v="0.8"/>
    <n v="0"/>
    <n v="0"/>
    <n v="0.2"/>
    <n v="0"/>
    <n v="0"/>
    <n v="0.9"/>
    <n v="0"/>
    <s v="Horacio Torres Agular"/>
    <n v="0"/>
    <n v="0"/>
    <n v="0"/>
    <n v="0"/>
    <n v="0"/>
    <n v="0"/>
    <n v="0"/>
    <n v="0"/>
    <s v="CONANP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10"/>
    <n v="943"/>
    <n v="10"/>
    <n v="0"/>
    <n v="0"/>
    <n v="2170"/>
    <n v="2170"/>
    <n v="99.95"/>
    <n v="2269.9499999999998"/>
    <s v="Sin dato"/>
    <s v="Sin dato"/>
    <s v="Sin dato"/>
    <s v="Sin dato"/>
    <s v="Superficial "/>
    <s v="Minimo"/>
    <s v="Bosque de Oyamel"/>
    <s v="BA"/>
    <s v="Parque Nacional Lagunas de Zempoala "/>
    <s v="No aplica "/>
    <s v="PNLZ"/>
    <n v="0"/>
    <n v="0"/>
    <n v="1"/>
    <n v="2"/>
    <n v="0"/>
    <n v="0"/>
    <n v="3"/>
  </r>
  <r>
    <s v="19-17-0078"/>
    <n v="78"/>
    <d v="2019-03-23T00:00:00"/>
    <d v="2019-03-23T00:00:00"/>
    <s v="1 Día"/>
    <n v="72"/>
    <n v="1"/>
    <x v="10"/>
    <x v="3"/>
    <x v="2"/>
    <s v="Morelos "/>
    <n v="20"/>
    <x v="1"/>
    <s v="Santa Catarina "/>
    <s v="Milpillas"/>
    <m/>
    <n v="18"/>
    <n v="56"/>
    <n v="17.899999999999999"/>
    <n v="99"/>
    <n v="10"/>
    <n v="6.4"/>
    <s v="N 18° 56' 17.90'' W 99° 10' 06.40''"/>
    <n v="1520"/>
    <n v="0"/>
    <n v="0"/>
    <n v="0"/>
    <n v="0.9"/>
    <n v="0"/>
    <n v="0"/>
    <n v="0.9"/>
    <n v="506.31999999999977"/>
    <n v="6.4912820512820479"/>
    <s v="Fijo"/>
    <s v="CONAFOR"/>
    <x v="2"/>
    <x v="2"/>
    <s v="Comunal"/>
    <s v="Conservación "/>
    <d v="2019-03-23T13:05:00"/>
    <d v="2019-03-23T13:10:00"/>
    <d v="2019-03-23T13:15:00"/>
    <d v="2019-03-23T14:15:00"/>
    <d v="2019-03-23T14:20:00"/>
    <m/>
    <d v="2019-03-23T15:30:00"/>
    <d v="2019-03-23T16:00:00"/>
    <d v="2019-03-23T17:00:00"/>
    <d v="1899-12-30T02:55:00"/>
    <d v="1899-12-30T00:05:00"/>
    <d v="1899-12-30T01:05:00"/>
    <d v="1899-12-30T02:55:00"/>
    <n v="0"/>
    <n v="0.15"/>
    <n v="0"/>
    <n v="0"/>
    <n v="0.1"/>
    <n v="0"/>
    <n v="0"/>
    <n v="0"/>
    <n v="0"/>
    <s v="Margarito Rodriguez Rodriguez "/>
    <n v="0"/>
    <n v="0"/>
    <n v="1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52"/>
    <n v="9"/>
    <n v="0"/>
    <n v="3447"/>
    <n v="0"/>
    <n v="3447"/>
    <n v="167.91"/>
    <n v="3614.91"/>
    <s v="Sin dato"/>
    <s v="Sin dato"/>
    <s v="Sin dato"/>
    <s v="Sin dato"/>
    <s v="Superficial "/>
    <s v="Minimo"/>
    <s v="Selva Baja Caducifolia "/>
    <s v="SBC"/>
    <s v="Parque Nacional El Tepozteco "/>
    <s v="No aplica "/>
    <s v="PNT"/>
    <n v="0"/>
    <n v="0"/>
    <n v="0"/>
    <n v="0.9"/>
    <n v="0"/>
    <n v="0"/>
    <n v="0.9"/>
  </r>
  <r>
    <s v="19-17-0079"/>
    <n v="79"/>
    <d v="2019-03-23T00:00:00"/>
    <d v="2019-03-23T00:00:00"/>
    <s v="1 Día"/>
    <n v="73"/>
    <n v="1"/>
    <x v="10"/>
    <x v="3"/>
    <x v="2"/>
    <s v="Morelos "/>
    <n v="9"/>
    <x v="0"/>
    <s v="Huitzilac "/>
    <s v="El Pedregalito"/>
    <m/>
    <n v="19"/>
    <n v="7"/>
    <n v="22.3"/>
    <n v="99"/>
    <n v="16"/>
    <n v="7.1"/>
    <s v="N 19° 07' 22.30'' W 99° 16' 07.10''"/>
    <n v="3016"/>
    <n v="0"/>
    <n v="0"/>
    <n v="0"/>
    <n v="0.9"/>
    <n v="0"/>
    <n v="0"/>
    <n v="0.9"/>
    <n v="507.21999999999974"/>
    <n v="6.4205063291139206"/>
    <s v="Fijo"/>
    <s v="CONAFOR"/>
    <x v="0"/>
    <x v="0"/>
    <s v="Comunal"/>
    <s v="Conservación "/>
    <d v="2019-03-23T16:40:00"/>
    <d v="2019-03-23T16:45:00"/>
    <d v="2019-03-23T16:50:00"/>
    <d v="2019-03-23T17:30:00"/>
    <d v="2019-03-23T17:35:00"/>
    <m/>
    <d v="2019-03-23T18:40:00"/>
    <d v="2019-03-23T19:00:00"/>
    <d v="2019-03-23T19:50:00"/>
    <d v="1899-12-30T02:20:00"/>
    <d v="1899-12-30T00:05:00"/>
    <d v="1899-12-30T00:45:00"/>
    <d v="1899-12-30T02:20:00"/>
    <n v="0.1"/>
    <n v="0.2"/>
    <n v="0"/>
    <n v="0"/>
    <n v="0.2"/>
    <n v="0"/>
    <n v="0.09"/>
    <n v="0.6"/>
    <n v="0"/>
    <s v="Rogelio Galeana Martinez"/>
    <n v="1"/>
    <n v="0"/>
    <n v="0"/>
    <n v="0"/>
    <n v="0"/>
    <n v="0"/>
    <n v="0"/>
    <n v="0"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58"/>
    <n v="6"/>
    <n v="0"/>
    <n v="2298"/>
    <n v="0"/>
    <n v="2298"/>
    <n v="346.49"/>
    <n v="2644.49"/>
    <s v="Sin dato"/>
    <s v="Sin dato"/>
    <s v="Sin dato"/>
    <s v="Sin dato"/>
    <s v="Superficial "/>
    <s v="Minimo"/>
    <s v="Bosque de Pino "/>
    <s v="BP"/>
    <s v="Corredor Biológico Chichinautzin "/>
    <s v="No aplica "/>
    <s v="CBC"/>
    <n v="0"/>
    <n v="0"/>
    <n v="0"/>
    <n v="0.9"/>
    <n v="0"/>
    <n v="0"/>
    <n v="0.9"/>
  </r>
  <r>
    <s v="19-17-0080"/>
    <n v="80"/>
    <d v="2019-03-24T00:00:00"/>
    <d v="2019-03-24T00:00:00"/>
    <s v="1 Día"/>
    <n v="74"/>
    <n v="1"/>
    <x v="10"/>
    <x v="5"/>
    <x v="2"/>
    <s v="Morelos "/>
    <n v="20"/>
    <x v="1"/>
    <s v="Santa Catarina "/>
    <s v="Oxotitla"/>
    <m/>
    <n v="18"/>
    <n v="59"/>
    <n v="33.799999999999997"/>
    <n v="99"/>
    <n v="9"/>
    <n v="48.7"/>
    <s v="N 18° 59' 33.80'' W 99° 09' 48.70''"/>
    <n v="1822"/>
    <n v="0"/>
    <n v="0"/>
    <n v="0.4"/>
    <n v="0.5"/>
    <n v="0"/>
    <n v="0"/>
    <n v="0.9"/>
    <n v="508.11999999999972"/>
    <n v="6.3514999999999961"/>
    <s v="Fijo"/>
    <s v="CONAFOR"/>
    <x v="7"/>
    <x v="8"/>
    <s v="Comunal"/>
    <s v="Conservación "/>
    <d v="2019-03-24T16:20:00"/>
    <d v="2019-03-24T16:25:00"/>
    <d v="2019-03-24T16:30:00"/>
    <d v="2019-03-24T17:15:00"/>
    <d v="2019-03-24T17:40:00"/>
    <m/>
    <d v="2019-03-24T19:00:00"/>
    <d v="2019-03-24T19:30:00"/>
    <d v="2019-03-24T20:30:00"/>
    <d v="1899-12-30T03:10:00"/>
    <d v="1899-12-30T00:05:00"/>
    <d v="1899-12-30T00:50:00"/>
    <d v="1899-12-30T03:10:00"/>
    <n v="0.3"/>
    <n v="0.2"/>
    <n v="0"/>
    <n v="0.1"/>
    <n v="0.1"/>
    <n v="0"/>
    <n v="0.2"/>
    <n v="0.9"/>
    <n v="0"/>
    <s v="Hesiquio Antonino Rios Ortega"/>
    <n v="0"/>
    <n v="0"/>
    <n v="0"/>
    <n v="1"/>
    <n v="0"/>
    <n v="0"/>
    <n v="0"/>
    <n v="0"/>
    <m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64"/>
    <n v="6"/>
    <n v="0"/>
    <n v="2298"/>
    <n v="0"/>
    <n v="2298"/>
    <n v="163.91"/>
    <n v="2461.91"/>
    <s v="Sin dato"/>
    <s v="Sin dato"/>
    <s v="Sin dato"/>
    <s v="Sin dato"/>
    <s v="Superficial "/>
    <s v="Minimo"/>
    <s v="Bosque de Encino"/>
    <s v="BQ"/>
    <s v="Parque Nacional El Tepozteco "/>
    <s v="No aplica "/>
    <s v="PNT"/>
    <n v="0"/>
    <n v="0"/>
    <n v="0.4"/>
    <n v="0.5"/>
    <n v="0"/>
    <n v="0"/>
    <n v="0.9"/>
  </r>
  <r>
    <s v="19-17-0081"/>
    <n v="81"/>
    <d v="2019-03-24T00:00:00"/>
    <d v="2019-03-24T00:00:00"/>
    <s v="1 Día"/>
    <n v="75"/>
    <n v="1"/>
    <x v="10"/>
    <x v="5"/>
    <x v="2"/>
    <s v="Morelos "/>
    <n v="9"/>
    <x v="0"/>
    <s v="Huitzilac "/>
    <s v="Tezontle"/>
    <s v="Nor - Poniente "/>
    <n v="19"/>
    <n v="3"/>
    <n v="20.48"/>
    <n v="99"/>
    <n v="16"/>
    <n v="13.18"/>
    <s v="N 19° 03' 20.48'' W 99° 16' 13.18''"/>
    <n v="2803"/>
    <n v="0"/>
    <n v="0"/>
    <n v="1"/>
    <n v="2"/>
    <n v="0"/>
    <n v="0.24"/>
    <n v="3.24"/>
    <n v="511.35999999999973"/>
    <n v="6.3130864197530832"/>
    <s v="Fijo"/>
    <s v="Municipios"/>
    <x v="0"/>
    <x v="0"/>
    <s v="Comunal"/>
    <s v="Conservación "/>
    <d v="2019-03-24T16:50:00"/>
    <d v="2019-03-24T16:55:00"/>
    <d v="2019-03-24T17:00:00"/>
    <d v="2019-03-24T18:05:00"/>
    <d v="2019-03-24T18:10:00"/>
    <m/>
    <d v="2019-03-24T21:00:00"/>
    <d v="2019-03-24T22:00:00"/>
    <d v="2019-03-24T23:30:00"/>
    <d v="1899-12-30T05:10:00"/>
    <d v="1899-12-30T00:05:00"/>
    <d v="1899-12-30T01:10:00"/>
    <d v="1899-12-30T05:10:00"/>
    <n v="0.2"/>
    <n v="0.4"/>
    <n v="0"/>
    <n v="0"/>
    <n v="0.4"/>
    <n v="0"/>
    <n v="0.1"/>
    <n v="0.6"/>
    <n v="0"/>
    <s v="Federico Galeana Simeon"/>
    <n v="0"/>
    <n v="1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73"/>
    <n v="9"/>
    <n v="0"/>
    <n v="3447"/>
    <n v="0"/>
    <n v="3447"/>
    <n v="166.58"/>
    <n v="3613.58"/>
    <s v="Sin dato"/>
    <s v="Sin dato"/>
    <s v="Sin dato"/>
    <s v="Sin dato"/>
    <s v="Superficial "/>
    <s v="Minimo"/>
    <s v="Bosque Mesofilo"/>
    <s v="BM"/>
    <s v="Corredor Biológico Chichinautzin "/>
    <s v="No aplica "/>
    <s v="CBC"/>
    <n v="0"/>
    <n v="0"/>
    <n v="1"/>
    <n v="2"/>
    <n v="0"/>
    <n v="0.24"/>
    <n v="3.24"/>
  </r>
  <r>
    <s v="19-17-0082"/>
    <n v="82"/>
    <d v="2019-03-24T00:00:00"/>
    <d v="2019-03-24T00:00:00"/>
    <s v="1 Día"/>
    <n v="76"/>
    <n v="1"/>
    <x v="10"/>
    <x v="5"/>
    <x v="2"/>
    <s v="Morelos "/>
    <n v="9"/>
    <x v="0"/>
    <s v="Huitzilac "/>
    <s v="Ocoyotongo"/>
    <m/>
    <n v="19"/>
    <n v="3"/>
    <n v="58.95"/>
    <n v="99"/>
    <n v="18"/>
    <n v="55.76"/>
    <s v="N 19° 03' 58.95'' W 99° 18' 55.76''"/>
    <n v="2907"/>
    <n v="0"/>
    <n v="0"/>
    <n v="1.0900000000000001"/>
    <n v="2"/>
    <n v="0"/>
    <n v="0"/>
    <n v="3.09"/>
    <n v="514.4499999999997"/>
    <n v="6.2737804878048742"/>
    <s v="Fijo"/>
    <s v="CONANP"/>
    <x v="1"/>
    <x v="1"/>
    <s v="Comunal"/>
    <s v="Conservación "/>
    <d v="2019-03-24T12:40:00"/>
    <d v="2019-03-24T12:45:00"/>
    <d v="2019-03-24T12:50:00"/>
    <d v="2019-03-24T13:00:00"/>
    <d v="2019-03-24T13:00:00"/>
    <m/>
    <d v="2019-03-24T15:00:00"/>
    <d v="2019-03-24T15:20:00"/>
    <d v="2019-03-24T15:30:00"/>
    <d v="1899-12-30T02:40:00"/>
    <d v="1899-12-30T00:05:00"/>
    <d v="1899-12-30T00:15:00"/>
    <d v="1899-12-30T02:40:00"/>
    <n v="0.7"/>
    <n v="0.9"/>
    <n v="0"/>
    <n v="0"/>
    <n v="0.2"/>
    <n v="0"/>
    <n v="0"/>
    <n v="1"/>
    <n v="0"/>
    <s v="Horacio Torres Agular"/>
    <n v="0"/>
    <n v="0"/>
    <n v="0"/>
    <n v="0"/>
    <n v="0"/>
    <n v="0"/>
    <n v="0"/>
    <n v="0"/>
    <s v="CONANP"/>
    <n v="0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11"/>
    <n v="984"/>
    <n v="11"/>
    <n v="0"/>
    <n v="0"/>
    <n v="2387"/>
    <n v="2387"/>
    <n v="95"/>
    <n v="2482"/>
    <s v="Sin dato"/>
    <s v="Sin dato"/>
    <s v="Sin dato"/>
    <s v="Sin dato"/>
    <s v="Superficial "/>
    <s v="Minimo"/>
    <s v="Bosque de Oyamel"/>
    <s v="BM"/>
    <s v="Parque Nacional Lagunas de Zempoala "/>
    <s v="No aplica "/>
    <s v="PNLZ"/>
    <n v="0"/>
    <n v="0"/>
    <n v="1.0900000000000001"/>
    <n v="2"/>
    <n v="0"/>
    <n v="0"/>
    <n v="3.09"/>
  </r>
  <r>
    <s v="19-17-0083"/>
    <n v="83"/>
    <d v="2019-03-22T00:00:00"/>
    <d v="2019-03-22T00:00:00"/>
    <s v="1 Día"/>
    <n v="77"/>
    <n v="1"/>
    <x v="10"/>
    <x v="1"/>
    <x v="2"/>
    <s v="Morelos "/>
    <n v="29"/>
    <x v="4"/>
    <s v="Yautepec"/>
    <s v="Tetillas"/>
    <s v="Sur"/>
    <n v="18"/>
    <n v="51"/>
    <n v="58.7"/>
    <n v="99"/>
    <n v="6"/>
    <n v="41.4"/>
    <s v="N 18° 51' 58.70'' W 99° 06' 41.40''"/>
    <n v="1380"/>
    <n v="0"/>
    <n v="0"/>
    <n v="0.9"/>
    <n v="0"/>
    <n v="0"/>
    <n v="0"/>
    <n v="0.9"/>
    <n v="515.34999999999968"/>
    <n v="6.2090361445783095"/>
    <s v="Fijo"/>
    <s v="Municipios"/>
    <x v="1"/>
    <x v="1"/>
    <s v="Comunal"/>
    <s v="Conservación "/>
    <d v="2019-03-22T15:25:00"/>
    <d v="2019-03-22T15:30:00"/>
    <d v="2019-03-22T15:35:00"/>
    <d v="2019-03-22T16:10:00"/>
    <d v="2019-03-22T16:25:00"/>
    <m/>
    <d v="2019-03-22T17:35:00"/>
    <d v="2019-03-22T18:00:00"/>
    <d v="2019-03-22T18:30:00"/>
    <d v="1899-12-30T02:35:00"/>
    <d v="1899-12-30T00:05:00"/>
    <d v="1899-12-30T00:40:00"/>
    <d v="1899-12-30T02:35:00"/>
    <n v="0.2"/>
    <n v="0.3"/>
    <n v="0"/>
    <n v="0"/>
    <n v="0"/>
    <n v="0"/>
    <n v="0"/>
    <n v="0"/>
    <n v="0"/>
    <s v="Donato Perez Martinez"/>
    <n v="0"/>
    <n v="0"/>
    <n v="0"/>
    <n v="0"/>
    <n v="0"/>
    <n v="0"/>
    <n v="0"/>
    <n v="0"/>
    <s v="Brigada Contingencias"/>
    <n v="0"/>
    <n v="0"/>
    <n v="0"/>
    <n v="0"/>
    <n v="0"/>
    <n v="0"/>
    <n v="0"/>
    <n v="0"/>
    <n v="0"/>
    <n v="0"/>
    <n v="12"/>
    <n v="0"/>
    <n v="0"/>
    <n v="0"/>
    <n v="0"/>
    <n v="0"/>
    <n v="0"/>
    <n v="0"/>
    <n v="0"/>
    <n v="0"/>
    <n v="12"/>
    <n v="996"/>
    <n v="12"/>
    <n v="0"/>
    <n v="0"/>
    <n v="2604"/>
    <n v="2604"/>
    <n v="263.86"/>
    <n v="2867.86"/>
    <s v="Sin dato"/>
    <s v="Sin dato"/>
    <s v="Sin dato"/>
    <s v="Sin dato"/>
    <s v="Superficial "/>
    <s v="Minimo"/>
    <s v="Selva Baja Caducifolia "/>
    <s v="SBC"/>
    <s v="Reserva Estatal Sierra Montenegro "/>
    <s v="No aplica "/>
    <s v="RESM"/>
    <n v="0"/>
    <n v="0"/>
    <n v="0.9"/>
    <n v="0"/>
    <n v="0"/>
    <n v="0"/>
    <n v="0.9"/>
  </r>
  <r>
    <s v="19-17-0084"/>
    <n v="84"/>
    <d v="2019-03-25T00:00:00"/>
    <d v="2019-03-25T00:00:00"/>
    <s v="1 Día"/>
    <n v="78"/>
    <n v="1"/>
    <x v="10"/>
    <x v="6"/>
    <x v="2"/>
    <s v="Morelos "/>
    <n v="9"/>
    <x v="0"/>
    <s v="Huitzilac "/>
    <s v="Pedregal"/>
    <m/>
    <n v="19"/>
    <n v="7"/>
    <n v="2.02"/>
    <n v="99"/>
    <n v="15"/>
    <n v="58.14"/>
    <s v="N 19° 07' 02.02'' W 99° 15' 58.14''"/>
    <n v="2987"/>
    <n v="0"/>
    <n v="0"/>
    <n v="2.21"/>
    <n v="2"/>
    <n v="0"/>
    <n v="0"/>
    <n v="4.21"/>
    <n v="519.55999999999972"/>
    <n v="6.1852380952380921"/>
    <s v="Fijo"/>
    <s v="CONAFOR"/>
    <x v="0"/>
    <x v="0"/>
    <s v="Comunal"/>
    <s v="Conservación "/>
    <d v="2019-03-25T13:15:00"/>
    <d v="2019-03-25T13:20:00"/>
    <d v="2019-03-25T13:25:00"/>
    <d v="2019-03-25T14:25:00"/>
    <d v="2019-03-25T14:30:00"/>
    <m/>
    <d v="2019-03-25T17:00:00"/>
    <d v="2019-03-25T18:00:00"/>
    <d v="2019-03-25T18:40:00"/>
    <d v="1899-12-30T04:45:00"/>
    <d v="1899-12-30T00:05:00"/>
    <d v="1899-12-30T01:05:00"/>
    <d v="1899-12-30T04:45:00"/>
    <n v="0.8"/>
    <n v="0.5"/>
    <n v="0"/>
    <n v="0"/>
    <n v="0.8"/>
    <n v="0"/>
    <n v="0"/>
    <n v="0"/>
    <n v="0"/>
    <s v="Margarito Rodriguez Rodriguez "/>
    <n v="0"/>
    <n v="0"/>
    <n v="1"/>
    <n v="0"/>
    <n v="0"/>
    <n v="0"/>
    <n v="0"/>
    <n v="0"/>
    <s v="CONANP"/>
    <n v="1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15"/>
    <n v="1011"/>
    <n v="15"/>
    <n v="0"/>
    <n v="3830"/>
    <n v="1085"/>
    <n v="4915"/>
    <n v="531.73"/>
    <n v="5446.73"/>
    <s v="Sin dato"/>
    <s v="Sin dato"/>
    <s v="Sin dato"/>
    <s v="Sin dato"/>
    <s v="Superficial "/>
    <s v="Minimo"/>
    <s v="Bosque de Pino "/>
    <s v="BP"/>
    <s v="Corredor Biológico Chichinautzin "/>
    <s v="No aplica "/>
    <s v="CBC"/>
    <n v="0"/>
    <n v="0"/>
    <n v="2.21"/>
    <n v="2"/>
    <n v="0"/>
    <n v="0"/>
    <n v="4.21"/>
  </r>
  <r>
    <s v="19-17-0085"/>
    <n v="85"/>
    <d v="2019-03-25T00:00:00"/>
    <d v="2019-03-25T00:00:00"/>
    <s v="1 Día"/>
    <n v="79"/>
    <n v="1"/>
    <x v="10"/>
    <x v="6"/>
    <x v="2"/>
    <s v="Morelos "/>
    <n v="29"/>
    <x v="4"/>
    <s v="Yautepec"/>
    <s v="Tetillas"/>
    <s v="Norte "/>
    <n v="18"/>
    <n v="53"/>
    <n v="18.89"/>
    <n v="99"/>
    <n v="6"/>
    <n v="21.45"/>
    <s v="N 18° 53' 18.89'' W 99° 06' 21.45''"/>
    <n v="1395"/>
    <n v="0"/>
    <n v="0"/>
    <n v="0"/>
    <n v="0.9"/>
    <n v="0"/>
    <n v="0"/>
    <n v="0.9"/>
    <n v="520.4599999999997"/>
    <n v="6.1230588235294086"/>
    <s v="Fijo"/>
    <s v="Municipios"/>
    <x v="3"/>
    <x v="4"/>
    <s v="Comunal"/>
    <s v="Conservación "/>
    <d v="2019-03-25T14:20:00"/>
    <d v="2019-03-25T14:25:00"/>
    <d v="2019-03-25T14:30:00"/>
    <s v="25-mar15:50"/>
    <d v="2019-03-25T15:55:00"/>
    <m/>
    <d v="2019-03-25T16:45:00"/>
    <d v="2019-03-25T17:00:00"/>
    <d v="2019-03-25T18:00:00"/>
    <d v="1899-12-30T02:40:00"/>
    <d v="1899-12-30T00:05:00"/>
    <d v="1899-12-30T01:25:00"/>
    <d v="1899-12-30T02:40:00"/>
    <n v="0.3"/>
    <n v="0.2"/>
    <n v="0"/>
    <n v="0"/>
    <n v="0.1"/>
    <n v="0"/>
    <n v="0"/>
    <n v="0"/>
    <n v="0"/>
    <s v="Donato Perez Martinez"/>
    <n v="0"/>
    <n v="0"/>
    <n v="0"/>
    <n v="0"/>
    <n v="0"/>
    <n v="0"/>
    <n v="0"/>
    <n v="0"/>
    <s v="Brigada Contingencias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0"/>
    <n v="0"/>
    <n v="7"/>
    <n v="1018"/>
    <n v="7"/>
    <n v="0"/>
    <n v="0"/>
    <n v="1519"/>
    <n v="1519"/>
    <n v="254.53"/>
    <n v="1773.53"/>
    <s v="Sin dato"/>
    <s v="Sin dato"/>
    <s v="Sin dato"/>
    <s v="Sin dato"/>
    <s v="Superficial "/>
    <s v="Minimo"/>
    <s v="Selva Baja Caducifolia "/>
    <s v="SBC"/>
    <s v="Reserva Estatal Sierra Montenegro "/>
    <s v="No aplica "/>
    <s v="RESM"/>
    <n v="0"/>
    <n v="0"/>
    <n v="0"/>
    <n v="0.9"/>
    <n v="0"/>
    <n v="0"/>
    <n v="0.9"/>
  </r>
  <r>
    <s v="19-17-0086"/>
    <n v="86"/>
    <d v="2019-03-26T00:00:00"/>
    <d v="2019-03-26T00:00:00"/>
    <s v="1 Día"/>
    <n v="80"/>
    <n v="1"/>
    <x v="10"/>
    <x v="4"/>
    <x v="2"/>
    <s v="Morelos "/>
    <n v="9"/>
    <x v="0"/>
    <s v="Coajomulco"/>
    <s v="La Cruz "/>
    <m/>
    <n v="19"/>
    <n v="2"/>
    <n v="40.630000000000003"/>
    <n v="99"/>
    <n v="11"/>
    <n v="17.02"/>
    <s v="N 19° 02' 40.63'' W 99° 11' 17.02''"/>
    <n v="2782"/>
    <n v="0"/>
    <n v="0"/>
    <n v="0"/>
    <n v="0.5"/>
    <n v="0.5"/>
    <n v="0.97"/>
    <n v="1.97"/>
    <n v="522.42999999999972"/>
    <n v="6.0747674418604616"/>
    <s v="Fijo"/>
    <s v="CONAFOR"/>
    <x v="1"/>
    <x v="1"/>
    <s v="Comunal"/>
    <s v="Predio Pago por Servicios Ambientales "/>
    <d v="2019-03-26T08:10:00"/>
    <d v="2019-03-26T08:15:00"/>
    <d v="2019-03-26T08:20:00"/>
    <d v="2019-03-26T09:20:00"/>
    <d v="2019-03-26T09:25:00"/>
    <m/>
    <d v="2019-03-26T12:00:00"/>
    <d v="2019-03-26T13:50:00"/>
    <m/>
    <d v="1899-12-30T05:40:00"/>
    <d v="1899-12-30T00:05:00"/>
    <d v="1899-12-30T01:05:00"/>
    <d v="1899-12-30T05:40:00"/>
    <n v="0.5"/>
    <n v="0.6"/>
    <n v="0"/>
    <n v="0"/>
    <n v="0.3"/>
    <n v="0"/>
    <n v="0"/>
    <n v="0.8"/>
    <n v="0"/>
    <s v="Margarito Rodriguez Rodriguez "/>
    <n v="0"/>
    <n v="0"/>
    <n v="1"/>
    <n v="0"/>
    <n v="0"/>
    <n v="0"/>
    <n v="0"/>
    <n v="0"/>
    <s v="Voluntarios"/>
    <n v="9"/>
    <n v="0"/>
    <n v="0"/>
    <n v="0"/>
    <n v="0"/>
    <n v="0"/>
    <n v="0"/>
    <n v="0"/>
    <n v="0"/>
    <n v="0"/>
    <n v="0"/>
    <n v="0"/>
    <n v="0"/>
    <n v="0"/>
    <n v="15"/>
    <n v="0"/>
    <n v="0"/>
    <n v="0"/>
    <n v="0"/>
    <n v="0"/>
    <n v="24"/>
    <n v="1042"/>
    <n v="9"/>
    <n v="15"/>
    <n v="3447"/>
    <n v="3255"/>
    <n v="6702"/>
    <n v="228"/>
    <n v="6930"/>
    <s v="Sin dato"/>
    <s v="Sin dato"/>
    <s v="Sin dato"/>
    <s v="Sin dato"/>
    <s v="Mixto"/>
    <s v="Minimo"/>
    <s v="Bosque de Pino "/>
    <s v="BP"/>
    <s v="Corredor Biológico Chichinautzin "/>
    <s v="No aplica "/>
    <s v="CBC"/>
    <n v="0"/>
    <n v="0"/>
    <n v="0"/>
    <n v="0.5"/>
    <n v="0.5"/>
    <n v="0.97"/>
    <n v="1.97"/>
  </r>
  <r>
    <s v="19-17-0087"/>
    <n v="87"/>
    <d v="2019-03-26T00:00:00"/>
    <d v="2019-03-26T00:00:00"/>
    <s v="1 Día"/>
    <n v="81"/>
    <n v="1"/>
    <x v="10"/>
    <x v="4"/>
    <x v="2"/>
    <s v="Morelos "/>
    <n v="20"/>
    <x v="1"/>
    <s v="Santa Catarina "/>
    <s v="Milpillas"/>
    <m/>
    <n v="18"/>
    <n v="57"/>
    <n v="19.21"/>
    <n v="99"/>
    <n v="10"/>
    <n v="19"/>
    <s v="N 18° 57' 19.21'' W 99° 10' 19.00''"/>
    <n v="1620"/>
    <n v="0"/>
    <n v="0"/>
    <n v="3"/>
    <n v="4.37"/>
    <n v="0"/>
    <n v="0"/>
    <n v="7.37"/>
    <n v="529.79999999999973"/>
    <n v="6.0896551724137904"/>
    <s v="Fijo"/>
    <s v="CONAFOR"/>
    <x v="2"/>
    <x v="2"/>
    <s v="Comunal"/>
    <s v="Conservación "/>
    <d v="2019-03-26T13:40:00"/>
    <d v="2019-03-26T13:45:00"/>
    <d v="2019-03-26T13:50:00"/>
    <d v="2019-03-26T14:50:00"/>
    <d v="2019-03-26T14:55:00"/>
    <m/>
    <d v="2019-03-26T18:00:00"/>
    <d v="2019-03-26T20:00:00"/>
    <d v="2019-03-26T21:00:00"/>
    <d v="1899-12-30T06:20:00"/>
    <d v="1899-12-30T00:05:00"/>
    <d v="1899-12-30T01:05:00"/>
    <d v="1899-12-30T06:20:00"/>
    <n v="0.8"/>
    <n v="0.6"/>
    <n v="0"/>
    <n v="0"/>
    <n v="0.3"/>
    <n v="0"/>
    <n v="0"/>
    <n v="0.9"/>
    <n v="0"/>
    <s v="Margarito Rodriguez Rodriguez "/>
    <n v="0"/>
    <n v="0"/>
    <n v="1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51"/>
    <n v="9"/>
    <n v="0"/>
    <n v="3447"/>
    <n v="0"/>
    <n v="3447"/>
    <n v="228"/>
    <n v="3675"/>
    <s v="Sin dato"/>
    <s v="Sin dato"/>
    <s v="Sin dato"/>
    <s v="Sin dato"/>
    <s v="Superficial "/>
    <s v="Minimo"/>
    <s v="Selva Baja Caducifolia "/>
    <s v="SBC"/>
    <s v="Parque Nacional El Tepozteco "/>
    <s v="No aplica "/>
    <s v="PNT"/>
    <n v="0"/>
    <n v="0"/>
    <n v="3"/>
    <n v="4.37"/>
    <n v="0"/>
    <n v="0"/>
    <n v="7.37"/>
  </r>
  <r>
    <s v="19-17-0088"/>
    <n v="88"/>
    <d v="2019-03-26T00:00:00"/>
    <d v="2019-03-27T00:00:00"/>
    <s v="2 o más Días"/>
    <n v="82"/>
    <n v="1"/>
    <x v="10"/>
    <x v="4"/>
    <x v="2"/>
    <s v="Morelos "/>
    <n v="23"/>
    <x v="2"/>
    <s v="Tlalnepantla"/>
    <s v="Las Cruces "/>
    <m/>
    <n v="19"/>
    <n v="3"/>
    <n v="42.87"/>
    <n v="99"/>
    <n v="1"/>
    <n v="35.200000000000003"/>
    <s v="N 19° 03' 42.87'' W 99° 01' 35.20''"/>
    <n v="3115"/>
    <n v="0"/>
    <n v="0"/>
    <n v="23.04"/>
    <n v="50"/>
    <n v="10"/>
    <n v="0"/>
    <n v="83.039999999999992"/>
    <n v="612.83999999999969"/>
    <n v="6.9640909090909053"/>
    <s v="Fijo"/>
    <s v="Municipios"/>
    <x v="0"/>
    <x v="0"/>
    <s v="Comunal"/>
    <s v="Conservación "/>
    <d v="2019-03-26T08:36:00"/>
    <d v="2019-03-26T08:40:00"/>
    <d v="2019-03-26T08:50:00"/>
    <d v="2019-03-26T09:20:00"/>
    <d v="2019-03-26T09:25:00"/>
    <d v="2019-03-26T12:30:00"/>
    <d v="2019-03-27T14:00:00"/>
    <d v="2019-03-27T17:00:00"/>
    <d v="2019-03-27T19:48:00"/>
    <d v="1899-12-31T08:24:00"/>
    <d v="1899-12-30T00:04:00"/>
    <d v="1899-12-30T00:40:00"/>
    <d v="1899-12-31T08:24:00"/>
    <n v="2"/>
    <n v="5"/>
    <n v="0"/>
    <n v="0"/>
    <n v="2"/>
    <n v="0"/>
    <n v="0"/>
    <n v="6"/>
    <n v="0"/>
    <s v="Donato Perez Martinez"/>
    <n v="0"/>
    <n v="0"/>
    <n v="0"/>
    <n v="0"/>
    <n v="0"/>
    <n v="0"/>
    <n v="0"/>
    <n v="0"/>
    <s v="Brigada Contingencias, CONANP, Voluntarios "/>
    <n v="0"/>
    <n v="0"/>
    <n v="0"/>
    <n v="0"/>
    <n v="0"/>
    <n v="20"/>
    <n v="0"/>
    <n v="0"/>
    <n v="0"/>
    <n v="0"/>
    <n v="16"/>
    <n v="0"/>
    <n v="0"/>
    <n v="0"/>
    <n v="3"/>
    <n v="0"/>
    <n v="0"/>
    <n v="0"/>
    <n v="0"/>
    <n v="0"/>
    <n v="39"/>
    <n v="1090"/>
    <n v="36"/>
    <n v="3"/>
    <n v="0"/>
    <n v="8463"/>
    <n v="8463"/>
    <n v="1520"/>
    <n v="9983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23.04"/>
    <n v="50"/>
    <n v="10"/>
    <n v="0"/>
    <n v="83.039999999999992"/>
  </r>
  <r>
    <s v="19-17-0089"/>
    <n v="89"/>
    <d v="2019-03-27T00:00:00"/>
    <d v="2019-03-27T00:00:00"/>
    <s v="1 Día"/>
    <n v="83"/>
    <n v="1"/>
    <x v="10"/>
    <x v="0"/>
    <x v="2"/>
    <s v="Morelos "/>
    <n v="7"/>
    <x v="5"/>
    <s v="Santa Maria "/>
    <s v="La Chita "/>
    <m/>
    <n v="18"/>
    <n v="59"/>
    <n v="18.8"/>
    <n v="99"/>
    <n v="17"/>
    <n v="11.37"/>
    <s v="N 18° 59' 18.80'' W 99° 17' 11.37''"/>
    <n v="2190"/>
    <n v="0"/>
    <n v="0"/>
    <n v="0.39"/>
    <n v="0"/>
    <n v="1"/>
    <n v="0"/>
    <n v="1.3900000000000001"/>
    <n v="614.22999999999968"/>
    <n v="6.9014606741572999"/>
    <s v="Fijo"/>
    <s v="CONAFOR"/>
    <x v="4"/>
    <x v="7"/>
    <s v="Comunal"/>
    <s v="Conservación "/>
    <d v="2019-03-27T08:00:00"/>
    <d v="2019-03-27T08:05:00"/>
    <d v="2019-03-27T08:40:00"/>
    <d v="2019-03-27T10:00:00"/>
    <d v="2019-03-27T10:50:00"/>
    <m/>
    <d v="2019-03-27T12:00:00"/>
    <d v="2019-03-27T12:50:00"/>
    <m/>
    <d v="1899-12-30T04:50:00"/>
    <d v="1899-12-30T00:05:00"/>
    <d v="1899-12-30T01:55:00"/>
    <d v="1899-12-30T04:50:00"/>
    <n v="0.9"/>
    <n v="0.4"/>
    <n v="0"/>
    <n v="0.3"/>
    <n v="0"/>
    <n v="0"/>
    <n v="0.5"/>
    <n v="0"/>
    <n v="0"/>
    <s v="Hesiquio Antonino Rios Ortega"/>
    <n v="1"/>
    <n v="0"/>
    <n v="0"/>
    <n v="1"/>
    <n v="0"/>
    <n v="0"/>
    <n v="0"/>
    <n v="0"/>
    <s v="Voluntarios"/>
    <n v="10"/>
    <n v="0"/>
    <n v="0"/>
    <n v="0"/>
    <n v="0"/>
    <n v="0"/>
    <n v="0"/>
    <n v="0"/>
    <n v="0"/>
    <n v="0"/>
    <n v="0"/>
    <n v="0"/>
    <n v="0"/>
    <n v="0"/>
    <n v="15"/>
    <n v="0"/>
    <n v="0"/>
    <n v="0"/>
    <n v="0"/>
    <n v="0"/>
    <n v="25"/>
    <n v="1115"/>
    <n v="10"/>
    <n v="15"/>
    <n v="3830"/>
    <n v="3255"/>
    <n v="7085"/>
    <n v="266"/>
    <n v="7351"/>
    <s v="Sin dato"/>
    <s v="Sin dato"/>
    <s v="Sin dato"/>
    <s v="Sin dato"/>
    <s v="Superficial "/>
    <s v="Minimo"/>
    <s v="Bosque Mesofilo"/>
    <s v="BM"/>
    <s v="Corredor Biológico Chichinautzin "/>
    <s v="No aplica "/>
    <s v="CBC"/>
    <n v="0"/>
    <n v="0"/>
    <n v="0.39"/>
    <n v="0"/>
    <n v="1"/>
    <n v="0"/>
    <n v="1.3900000000000001"/>
  </r>
  <r>
    <s v="19-17-0090"/>
    <n v="90"/>
    <d v="2019-03-27T00:00:00"/>
    <d v="2019-03-27T00:00:00"/>
    <s v="1 Día"/>
    <n v="84"/>
    <n v="1"/>
    <x v="10"/>
    <x v="0"/>
    <x v="2"/>
    <s v="Morelos "/>
    <n v="7"/>
    <x v="5"/>
    <s v="Ahuatepec "/>
    <s v="La Alarcon "/>
    <m/>
    <n v="18"/>
    <n v="58"/>
    <n v="48.7"/>
    <n v="99"/>
    <n v="12"/>
    <n v="13.5"/>
    <s v="N 18° 58' 48.70'' W 99° 12' 13.50''"/>
    <n v="1874"/>
    <n v="0"/>
    <n v="0.4"/>
    <n v="0.4"/>
    <n v="0"/>
    <n v="0"/>
    <n v="0.1"/>
    <n v="0.9"/>
    <n v="615.12999999999965"/>
    <n v="6.8347777777777736"/>
    <s v="Fijo"/>
    <s v="CONAFOR"/>
    <x v="3"/>
    <x v="3"/>
    <s v="Comunal"/>
    <s v="Conservación "/>
    <d v="2019-03-27T12:00:00"/>
    <d v="2019-03-27T12:05:00"/>
    <d v="2019-03-27T12:50:00"/>
    <d v="2019-03-27T13:50:00"/>
    <d v="2019-03-27T14:10:00"/>
    <m/>
    <d v="2019-03-27T17:30:00"/>
    <d v="2019-03-27T18:00:00"/>
    <d v="2019-03-27T19:00:00"/>
    <d v="1899-12-30T06:00:00"/>
    <d v="1899-12-30T00:05:00"/>
    <d v="1899-12-30T01:45:00"/>
    <d v="1899-12-30T06:00:00"/>
    <n v="0.2"/>
    <n v="0.2"/>
    <n v="0.2"/>
    <n v="0.1"/>
    <n v="0.1"/>
    <n v="0"/>
    <n v="0"/>
    <n v="0.9"/>
    <n v="0"/>
    <s v="Hesiquio Antonino Rios Ortega"/>
    <n v="1"/>
    <n v="0"/>
    <n v="0"/>
    <n v="1"/>
    <n v="0"/>
    <n v="0"/>
    <n v="0"/>
    <n v="0"/>
    <s v="Voluntarios"/>
    <n v="1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20"/>
    <n v="1135"/>
    <n v="10"/>
    <n v="10"/>
    <n v="3830"/>
    <n v="2170"/>
    <n v="6000"/>
    <n v="285"/>
    <n v="6285"/>
    <s v="Sin dato"/>
    <s v="Sin dato"/>
    <s v="Sin dato"/>
    <s v="Sin dato"/>
    <s v="Superficial "/>
    <s v="Minimo"/>
    <s v="Bosque de Pino "/>
    <s v="BP"/>
    <s v="Corredor Biológico Chichinautzin "/>
    <s v="No aplica "/>
    <s v="CBC"/>
    <n v="0"/>
    <n v="0.4"/>
    <n v="0.4"/>
    <n v="0"/>
    <n v="0"/>
    <n v="0.1"/>
    <n v="0.9"/>
  </r>
  <r>
    <s v="19-17-0091"/>
    <n v="91"/>
    <d v="2019-03-28T00:00:00"/>
    <d v="2019-03-30T00:00:00"/>
    <s v="2 o más Días"/>
    <n v="85"/>
    <n v="1"/>
    <x v="10"/>
    <x v="2"/>
    <x v="2"/>
    <s v="Morelos "/>
    <n v="9"/>
    <x v="0"/>
    <s v="Huitzilac "/>
    <s v="Los Pilares, Cerro de la Gloria, Laguna de Hueyapan "/>
    <m/>
    <n v="19"/>
    <n v="3"/>
    <n v="41.01"/>
    <n v="99"/>
    <n v="17"/>
    <n v="18.440000000000001"/>
    <s v="N 19° 03' 41.01'' W 99° 17' 18.44''"/>
    <n v="2738"/>
    <n v="0"/>
    <n v="40"/>
    <n v="70"/>
    <n v="70"/>
    <n v="20.28"/>
    <n v="0"/>
    <n v="200.28"/>
    <n v="815.40999999999963"/>
    <n v="8.960549450549447"/>
    <s v="Fijo"/>
    <s v="CONAFOR"/>
    <x v="0"/>
    <x v="0"/>
    <s v="Comunal"/>
    <s v="Conservación "/>
    <d v="2019-03-28T12:50:00"/>
    <d v="2019-03-28T12:55:00"/>
    <d v="2019-03-28T13:00:00"/>
    <d v="2019-03-28T13:50:00"/>
    <d v="2019-03-28T13:55:00"/>
    <d v="2019-03-28T14:00:00"/>
    <d v="2019-03-30T11:20:00"/>
    <d v="2019-03-30T15:30:00"/>
    <d v="2019-03-30T18:00:00"/>
    <d v="1900-01-01T02:40:00"/>
    <d v="1899-12-30T00:05:00"/>
    <d v="1899-12-30T00:55:00"/>
    <d v="1900-01-01T02:40:00"/>
    <n v="3"/>
    <n v="10"/>
    <n v="2"/>
    <n v="0"/>
    <n v="5"/>
    <n v="0"/>
    <n v="3"/>
    <n v="11"/>
    <n v="0"/>
    <s v="Rogelio Galeana Martinez"/>
    <n v="1"/>
    <n v="1"/>
    <n v="1"/>
    <n v="1"/>
    <n v="1"/>
    <n v="1"/>
    <n v="1"/>
    <n v="1"/>
    <s v="SEDENA, CONANP, SDS,  Municipal"/>
    <n v="41"/>
    <n v="0"/>
    <n v="0"/>
    <n v="0"/>
    <n v="0"/>
    <n v="22"/>
    <n v="0"/>
    <n v="14"/>
    <n v="0"/>
    <n v="0"/>
    <n v="18"/>
    <n v="0"/>
    <n v="24"/>
    <n v="0"/>
    <n v="0"/>
    <n v="0"/>
    <n v="0"/>
    <n v="0"/>
    <n v="0"/>
    <n v="0"/>
    <n v="119"/>
    <n v="1254"/>
    <n v="119"/>
    <n v="0"/>
    <n v="15703"/>
    <n v="16926"/>
    <n v="32629"/>
    <n v="2470"/>
    <n v="35099"/>
    <s v="Sin dato"/>
    <s v="Sin dato"/>
    <s v="Sin dato"/>
    <s v="Sin dato"/>
    <s v="Superficial "/>
    <s v="Minimo"/>
    <s v="Bosque de Pino "/>
    <s v="BP"/>
    <s v="Parque Nacional Lagunas de Zempoala "/>
    <s v="Corredor Biológico Chichinautzin "/>
    <s v="PNLZ  - CBC"/>
    <n v="0"/>
    <n v="35"/>
    <n v="70"/>
    <n v="70"/>
    <n v="15.85"/>
    <n v="0"/>
    <n v="190.85"/>
  </r>
  <r>
    <s v="19-17-0092"/>
    <n v="92"/>
    <d v="2019-03-30T00:00:00"/>
    <d v="2019-03-30T00:00:00"/>
    <s v="1 Día"/>
    <n v="86"/>
    <n v="1"/>
    <x v="11"/>
    <x v="3"/>
    <x v="2"/>
    <s v="Morelos "/>
    <n v="9"/>
    <x v="0"/>
    <s v="Huitzilac "/>
    <s v="Joyas del Diablo "/>
    <s v="Norte "/>
    <n v="19"/>
    <n v="5"/>
    <n v="1.5"/>
    <n v="99"/>
    <n v="14"/>
    <n v="43"/>
    <s v="N 19° 05' 01.50'' W 99° 14' 43.00''"/>
    <n v="2935"/>
    <n v="0"/>
    <n v="0"/>
    <n v="0.2"/>
    <n v="0.7"/>
    <n v="0"/>
    <n v="0"/>
    <n v="0.89999999999999991"/>
    <n v="816.3099999999996"/>
    <n v="8.8729347826086915"/>
    <s v="Fijo"/>
    <s v="CONAFOR"/>
    <x v="3"/>
    <x v="3"/>
    <s v="Comunal"/>
    <s v="Conservación "/>
    <d v="2019-03-30T15:50:00"/>
    <d v="2019-03-30T15:55:00"/>
    <d v="2019-03-30T16:00:00"/>
    <d v="2019-03-30T16:40:00"/>
    <d v="2019-03-30T16:42:00"/>
    <m/>
    <d v="2019-03-30T18:00:00"/>
    <d v="2019-03-30T18:30:00"/>
    <s v="30-mor 19:30"/>
    <d v="1899-12-30T02:40:00"/>
    <d v="1899-12-30T00:05:00"/>
    <d v="1899-12-30T00:45:00"/>
    <d v="1899-12-30T02:40:00"/>
    <n v="0.1"/>
    <n v="0.03"/>
    <n v="0"/>
    <n v="0"/>
    <n v="0.04"/>
    <n v="0"/>
    <n v="0"/>
    <n v="0.1"/>
    <n v="0"/>
    <s v="Teodoro Rea Martinez"/>
    <n v="0"/>
    <n v="0"/>
    <n v="0"/>
    <n v="1"/>
    <n v="0"/>
    <n v="0"/>
    <n v="0"/>
    <n v="0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61"/>
    <n v="7"/>
    <n v="0"/>
    <n v="2681"/>
    <n v="0"/>
    <n v="2681"/>
    <n v="269.19"/>
    <n v="2950.19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0.2"/>
    <n v="0.7"/>
    <n v="0"/>
    <n v="0"/>
    <n v="0.89999999999999991"/>
  </r>
  <r>
    <s v="19-17-0093"/>
    <n v="93"/>
    <d v="2019-03-31T00:00:00"/>
    <d v="2019-03-31T00:00:00"/>
    <s v="1 Día"/>
    <n v="87"/>
    <n v="1"/>
    <x v="11"/>
    <x v="5"/>
    <x v="2"/>
    <s v="Morelos "/>
    <n v="9"/>
    <x v="0"/>
    <s v="Huitzilac "/>
    <s v="Cruz del Mielero"/>
    <s v="Sur"/>
    <n v="19"/>
    <n v="3"/>
    <n v="0.86"/>
    <n v="99"/>
    <n v="16"/>
    <n v="27.37"/>
    <s v="N 19° 03' 00.86'' W 99° 16' 27.37''"/>
    <n v="2773"/>
    <n v="0"/>
    <n v="0"/>
    <n v="2.84"/>
    <n v="2"/>
    <n v="0"/>
    <n v="0"/>
    <n v="4.84"/>
    <n v="821.14999999999964"/>
    <n v="8.8295698924731152"/>
    <s v="Fijo"/>
    <s v="CONAFOR"/>
    <x v="0"/>
    <x v="0"/>
    <s v="Comunal"/>
    <s v="Conservación "/>
    <d v="2019-03-31T10:50:00"/>
    <d v="2019-03-31T10:55:00"/>
    <d v="2019-03-31T11:00:00"/>
    <d v="2019-03-31T11:40:00"/>
    <d v="2019-03-31T11:45:00"/>
    <m/>
    <d v="2019-03-31T14:30:00"/>
    <d v="2019-03-31T15:30:00"/>
    <m/>
    <d v="1899-12-30T04:40:00"/>
    <d v="1899-12-30T00:05:00"/>
    <d v="1899-12-30T00:45:00"/>
    <d v="1899-12-30T04:40:00"/>
    <n v="0.4"/>
    <n v="0.8"/>
    <n v="0"/>
    <n v="0"/>
    <n v="0.25"/>
    <n v="0"/>
    <n v="0"/>
    <n v="0.9"/>
    <n v="0"/>
    <s v="Margarito Rodriguez Rodriguez "/>
    <n v="0"/>
    <n v="0"/>
    <n v="1"/>
    <n v="0"/>
    <n v="0"/>
    <n v="0"/>
    <n v="0"/>
    <n v="0"/>
    <s v="Voluntarios"/>
    <n v="1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12"/>
    <n v="1273"/>
    <n v="10"/>
    <n v="2"/>
    <n v="3830"/>
    <n v="434"/>
    <n v="4264"/>
    <n v="161.25"/>
    <n v="4425.25"/>
    <s v="Sin dato"/>
    <s v="Sin dato"/>
    <s v="Sin dato"/>
    <s v="Sin dato"/>
    <s v="Superficial "/>
    <s v="Minimo"/>
    <s v="Bosque Mesofilo"/>
    <s v="BM"/>
    <s v="Corredor Biológico Chichinautzin "/>
    <s v="No aplica "/>
    <s v="CBC"/>
    <n v="0"/>
    <n v="0"/>
    <n v="2.84"/>
    <n v="2"/>
    <n v="0"/>
    <n v="0"/>
    <n v="4.84"/>
  </r>
  <r>
    <s v="19-17-0094"/>
    <n v="94"/>
    <d v="2019-03-31T00:00:00"/>
    <d v="2019-03-31T00:00:00"/>
    <s v="1 Día"/>
    <n v="88"/>
    <n v="1"/>
    <x v="11"/>
    <x v="5"/>
    <x v="2"/>
    <s v="Morelos "/>
    <n v="24"/>
    <x v="8"/>
    <s v="Tlaltizapan"/>
    <s v="Las Buganbilias"/>
    <m/>
    <n v="18"/>
    <n v="40"/>
    <n v="0.84"/>
    <n v="99"/>
    <n v="3"/>
    <n v="26.64"/>
    <s v="N 18° 40' 00.84'' W 99° 03' 26.64''"/>
    <n v="1210"/>
    <n v="0"/>
    <n v="0"/>
    <n v="1.34"/>
    <n v="3"/>
    <n v="2"/>
    <n v="0"/>
    <n v="6.34"/>
    <n v="827.48999999999967"/>
    <n v="8.8030851063829747"/>
    <s v="Fijo"/>
    <s v="CONAFOR"/>
    <x v="5"/>
    <x v="1"/>
    <s v="Ejidal"/>
    <s v="Conservación "/>
    <d v="2019-03-31T12:00:00"/>
    <d v="2019-03-31T12:10:00"/>
    <d v="2019-03-31T12:15:00"/>
    <d v="2019-03-31T14:20:00"/>
    <d v="2019-03-31T14:30:00"/>
    <m/>
    <d v="2019-03-31T20:00:00"/>
    <d v="2019-03-31T22:00:00"/>
    <d v="2019-04-02T00:00:00"/>
    <d v="1899-12-30T10:00:00"/>
    <d v="1899-12-30T00:10:00"/>
    <d v="1899-12-30T02:10:00"/>
    <d v="1899-12-30T10:00:00"/>
    <n v="0.6"/>
    <n v="0.9"/>
    <n v="0"/>
    <n v="0.8"/>
    <n v="0.8"/>
    <n v="0"/>
    <n v="0.9"/>
    <n v="1"/>
    <n v="0"/>
    <s v="Federico Galeana Simeon"/>
    <n v="1"/>
    <n v="1"/>
    <n v="0"/>
    <n v="0"/>
    <n v="0"/>
    <n v="0"/>
    <n v="0"/>
    <n v="0"/>
    <s v="Pc Municipal"/>
    <n v="16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23"/>
    <n v="1296"/>
    <n v="23"/>
    <n v="0"/>
    <n v="6128"/>
    <n v="1519"/>
    <n v="7647"/>
    <n v="1469.66"/>
    <n v="9116.66"/>
    <s v="Sin dato"/>
    <s v="Sin dato"/>
    <s v="Sin dato"/>
    <s v="Sin dato"/>
    <s v="Superficial "/>
    <s v="Minimo"/>
    <s v="Selva Baja Caducifolia "/>
    <s v="SBC"/>
    <s v="Fuera ANP"/>
    <s v="No aplica "/>
    <s v="FANP"/>
    <n v="0"/>
    <n v="0"/>
    <n v="0"/>
    <n v="0"/>
    <n v="0"/>
    <n v="0"/>
    <n v="0"/>
  </r>
  <r>
    <s v="19-17-0095"/>
    <n v="95"/>
    <d v="2019-03-31T00:00:00"/>
    <d v="2019-04-01T00:00:00"/>
    <s v="2 o más Días"/>
    <n v="89"/>
    <n v="1"/>
    <x v="11"/>
    <x v="5"/>
    <x v="2"/>
    <s v="Morelos "/>
    <n v="9"/>
    <x v="0"/>
    <s v="Huitzilac "/>
    <s v="Los Lagartos"/>
    <m/>
    <n v="19"/>
    <n v="5"/>
    <n v="0.24"/>
    <n v="99"/>
    <n v="14"/>
    <n v="58.19"/>
    <s v="N 19° 05' 00.24'' W 99° 14' 58.19''"/>
    <n v="2998"/>
    <n v="0"/>
    <n v="0"/>
    <n v="3.56"/>
    <n v="3"/>
    <n v="0"/>
    <n v="0"/>
    <n v="6.5600000000000005"/>
    <n v="834.04999999999961"/>
    <n v="8.7794736842105223"/>
    <s v="Fijo"/>
    <s v="CONAFOR"/>
    <x v="0"/>
    <x v="0"/>
    <s v="Comunal"/>
    <s v="Conservación "/>
    <d v="2019-03-31T15:20:00"/>
    <d v="2019-03-31T15:25:00"/>
    <d v="2019-03-31T15:30:00"/>
    <d v="2019-03-31T16:00:00"/>
    <d v="2019-03-31T16:10:00"/>
    <m/>
    <d v="2019-03-31T21:00:00"/>
    <d v="2019-04-01T12:00:00"/>
    <d v="2019-04-01T13:00:00"/>
    <d v="1899-12-30T20:40:00"/>
    <d v="1899-12-30T00:05:00"/>
    <d v="1899-12-30T00:35:00"/>
    <d v="1899-12-30T20:40:00"/>
    <n v="0.4"/>
    <n v="0.5"/>
    <n v="0"/>
    <n v="0"/>
    <n v="0.35"/>
    <n v="0"/>
    <n v="0"/>
    <n v="0.9"/>
    <n v="0"/>
    <s v="Margarito Rodriguez Rodriguez "/>
    <n v="0"/>
    <n v="0"/>
    <n v="1"/>
    <n v="0"/>
    <n v="0"/>
    <n v="0"/>
    <n v="0"/>
    <n v="0"/>
    <s v="CONANP"/>
    <n v="19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29"/>
    <n v="1325"/>
    <n v="29"/>
    <n v="0"/>
    <n v="7277"/>
    <n v="2170"/>
    <n v="9447"/>
    <n v="247"/>
    <n v="9694"/>
    <s v="Sin dato"/>
    <s v="Sin dato"/>
    <s v="Sin dato"/>
    <s v="Sin dato"/>
    <s v="Superficial "/>
    <s v="Minimo"/>
    <s v="Bosque de Pino "/>
    <s v="BP"/>
    <s v="Corredor Biológico Chichinautzin "/>
    <s v="No aplica "/>
    <s v="CBC"/>
    <n v="0"/>
    <n v="0"/>
    <n v="3.56"/>
    <n v="3"/>
    <n v="0"/>
    <n v="0"/>
    <n v="6.5600000000000005"/>
  </r>
  <r>
    <s v="19-17-0096"/>
    <n v="96"/>
    <d v="2019-04-01T00:00:00"/>
    <d v="2019-04-01T00:00:00"/>
    <s v="1 Día"/>
    <n v="1"/>
    <n v="1"/>
    <x v="11"/>
    <x v="6"/>
    <x v="3"/>
    <s v="Morelos "/>
    <n v="9"/>
    <x v="0"/>
    <s v="Huitzilac "/>
    <s v="Teacontitla"/>
    <m/>
    <n v="19"/>
    <n v="4"/>
    <n v="12.2"/>
    <n v="99"/>
    <n v="11"/>
    <n v="46"/>
    <s v="N 19° 04' 12.20'' W 99° 11' 46.00''"/>
    <n v="2944"/>
    <n v="0"/>
    <n v="0"/>
    <n v="0.4"/>
    <n v="0.5"/>
    <n v="0"/>
    <n v="0"/>
    <n v="0.9"/>
    <n v="834.94999999999959"/>
    <n v="8.6973958333333297"/>
    <s v="Fijo"/>
    <s v="CONAFOR"/>
    <x v="0"/>
    <x v="0"/>
    <s v="Comunal"/>
    <s v="Conservación "/>
    <d v="2019-04-01T13:05:00"/>
    <d v="2019-04-01T13:10:00"/>
    <d v="2019-04-01T13:15:00"/>
    <d v="2019-04-01T14:00:00"/>
    <d v="2019-04-01T14:05:00"/>
    <m/>
    <d v="2019-04-01T15:00:00"/>
    <d v="2019-04-01T15:45:00"/>
    <m/>
    <d v="1899-12-30T02:40:00"/>
    <d v="1899-12-30T00:05:00"/>
    <d v="1899-12-30T00:50:00"/>
    <d v="1899-12-30T02:40:00"/>
    <n v="0.3"/>
    <n v="0.1"/>
    <n v="0"/>
    <n v="0"/>
    <n v="0.15"/>
    <n v="0"/>
    <n v="0"/>
    <n v="0"/>
    <n v="0"/>
    <s v="Margarito Rodriguez Rodriguez "/>
    <n v="0"/>
    <n v="0"/>
    <n v="1"/>
    <n v="0"/>
    <n v="0"/>
    <n v="0"/>
    <n v="0"/>
    <n v="0"/>
    <s v="Voluntarios"/>
    <n v="9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14"/>
    <n v="1339"/>
    <n v="9"/>
    <n v="5"/>
    <n v="3447"/>
    <n v="1085"/>
    <n v="4532"/>
    <n v="455.77"/>
    <n v="4987.7700000000004"/>
    <s v="Sin dato"/>
    <s v="Sin dato"/>
    <s v="Sin dato"/>
    <s v="Sin dato"/>
    <s v="Superficial "/>
    <s v="Minimo"/>
    <s v="Bosque de Pino "/>
    <s v="BP"/>
    <s v="Corredor Biológico Chichinautzin "/>
    <s v="No aplica "/>
    <s v="CBC"/>
    <n v="0"/>
    <n v="0"/>
    <n v="0.4"/>
    <n v="0.5"/>
    <n v="0"/>
    <n v="0"/>
    <n v="0.9"/>
  </r>
  <r>
    <s v="19-17-0097"/>
    <n v="97"/>
    <d v="2019-04-01T00:00:00"/>
    <d v="2019-04-01T00:00:00"/>
    <s v="1 Día"/>
    <n v="2"/>
    <n v="1"/>
    <x v="11"/>
    <x v="6"/>
    <x v="3"/>
    <s v="Morelos "/>
    <n v="20"/>
    <x v="1"/>
    <s v="Santa Catarina "/>
    <s v="Km 8"/>
    <s v="Norte "/>
    <n v="18"/>
    <n v="58"/>
    <n v="36.33"/>
    <n v="99"/>
    <n v="10"/>
    <n v="54.19"/>
    <s v="N 18° 58' 36.33'' W 99° 10' 54.19''"/>
    <n v="1735"/>
    <n v="0"/>
    <n v="0"/>
    <n v="5"/>
    <n v="10"/>
    <n v="2.39"/>
    <n v="0"/>
    <n v="17.39"/>
    <n v="852.33999999999958"/>
    <n v="8.7870103092783456"/>
    <s v="Fijo"/>
    <s v="CONAFOR"/>
    <x v="3"/>
    <x v="4"/>
    <s v="Comunal"/>
    <s v="Conservación "/>
    <d v="2019-04-01T14:10:00"/>
    <d v="2019-04-01T14:15:00"/>
    <d v="2019-04-01T14:20:00"/>
    <d v="2019-04-01T15:05:00"/>
    <d v="2019-04-01T15:10:00"/>
    <m/>
    <d v="2019-04-01T17:20:00"/>
    <d v="2019-04-01T18:00:00"/>
    <d v="2019-04-01T18:40:00"/>
    <d v="1899-12-30T03:50:00"/>
    <d v="1899-12-30T00:05:00"/>
    <d v="1899-12-30T00:50:00"/>
    <d v="1899-12-30T03:50:00"/>
    <n v="0.4"/>
    <n v="1.5"/>
    <n v="0"/>
    <n v="0.3"/>
    <n v="0"/>
    <n v="0"/>
    <n v="0"/>
    <n v="0"/>
    <n v="0"/>
    <s v="Donato Perez Martinez"/>
    <n v="0"/>
    <n v="0"/>
    <n v="0"/>
    <n v="0"/>
    <n v="0"/>
    <n v="0"/>
    <n v="0"/>
    <n v="0"/>
    <s v="Brigada Contingencias,  CONANP"/>
    <n v="0"/>
    <n v="0"/>
    <n v="0"/>
    <n v="0"/>
    <n v="0"/>
    <n v="10"/>
    <n v="0"/>
    <n v="0"/>
    <n v="0"/>
    <n v="0"/>
    <n v="12"/>
    <n v="0"/>
    <n v="0"/>
    <n v="0"/>
    <n v="0"/>
    <n v="0"/>
    <n v="0"/>
    <n v="0"/>
    <n v="0"/>
    <n v="0"/>
    <n v="22"/>
    <n v="1361"/>
    <n v="22"/>
    <n v="0"/>
    <n v="0"/>
    <n v="4774"/>
    <n v="4774"/>
    <n v="381"/>
    <n v="5155"/>
    <s v="Sin dato"/>
    <s v="Sin dato"/>
    <s v="Sin dato"/>
    <s v="Sin dato"/>
    <s v="Superficial "/>
    <s v="Minimo"/>
    <s v="Bosque de Encino - Pino"/>
    <s v="BQP"/>
    <s v="Parque Nacional El Tepozteco "/>
    <s v="No aplica "/>
    <s v="PNT"/>
    <n v="0"/>
    <n v="0"/>
    <n v="5"/>
    <n v="10"/>
    <n v="2.39"/>
    <n v="0"/>
    <n v="17.39"/>
  </r>
  <r>
    <s v="19-17-0098"/>
    <n v="98"/>
    <d v="2019-04-01T00:00:00"/>
    <d v="2019-04-01T00:00:00"/>
    <s v="1 Día"/>
    <n v="3"/>
    <n v="1"/>
    <x v="11"/>
    <x v="6"/>
    <x v="3"/>
    <s v="Morelos "/>
    <n v="7"/>
    <x v="5"/>
    <s v="Ocotepec"/>
    <s v="km 76 + 200  de la 89"/>
    <s v="Sur"/>
    <n v="18"/>
    <n v="58"/>
    <n v="55.24"/>
    <n v="99"/>
    <n v="12"/>
    <n v="49.77"/>
    <s v="N 18° 58' 55.24'' W 99° 12' 49.77''"/>
    <n v="1907"/>
    <n v="0"/>
    <n v="0"/>
    <n v="0.4"/>
    <n v="0.5"/>
    <n v="0"/>
    <n v="0"/>
    <n v="0.9"/>
    <n v="853.23999999999955"/>
    <n v="8.7065306122448938"/>
    <s v="Fijo"/>
    <s v="CONAFOR"/>
    <x v="3"/>
    <x v="4"/>
    <s v="Comunal"/>
    <s v="Conservación "/>
    <d v="2019-04-01T15:35:00"/>
    <d v="2019-04-01T15:40:00"/>
    <d v="2019-04-01T15:45:00"/>
    <d v="2019-04-01T16:30:00"/>
    <d v="2019-04-01T16:35:00"/>
    <m/>
    <d v="2019-04-01T19:00:00"/>
    <d v="2019-04-01T20:30:00"/>
    <d v="2019-04-01T21:00:00"/>
    <d v="1899-12-30T04:55:00"/>
    <d v="1899-12-30T00:05:00"/>
    <d v="1899-12-30T00:50:00"/>
    <d v="1899-12-30T04:55:00"/>
    <n v="0.3"/>
    <n v="0.1"/>
    <n v="0"/>
    <n v="0"/>
    <n v="0.1"/>
    <n v="0"/>
    <n v="0"/>
    <n v="0"/>
    <n v="0"/>
    <s v="Margarito Rodriguez Rodriguez "/>
    <n v="0"/>
    <n v="0"/>
    <n v="1"/>
    <n v="0"/>
    <n v="0"/>
    <n v="0"/>
    <n v="0"/>
    <n v="0"/>
    <s v="Voluntarios"/>
    <n v="9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16"/>
    <n v="1377"/>
    <n v="9"/>
    <n v="7"/>
    <n v="3447"/>
    <n v="1519"/>
    <n v="4966"/>
    <n v="79.959999999999994"/>
    <n v="5045.96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0.4"/>
    <n v="0.5"/>
    <n v="0"/>
    <n v="0"/>
    <n v="0.9"/>
  </r>
  <r>
    <s v="19-17-0099"/>
    <n v="99"/>
    <d v="2019-04-02T00:00:00"/>
    <d v="2019-04-02T00:00:00"/>
    <s v="1 Día"/>
    <n v="4"/>
    <n v="1"/>
    <x v="11"/>
    <x v="4"/>
    <x v="3"/>
    <s v="Morelos "/>
    <n v="7"/>
    <x v="5"/>
    <s v="Santa Maria "/>
    <s v="El Tecolote "/>
    <m/>
    <n v="18"/>
    <n v="56"/>
    <n v="45.19"/>
    <n v="99"/>
    <n v="16"/>
    <n v="20.58"/>
    <s v="N 18° 56' 45.19'' W 99° 16' 20.58''"/>
    <n v="1753"/>
    <n v="0"/>
    <n v="0"/>
    <n v="0"/>
    <n v="3.34"/>
    <n v="2"/>
    <n v="0"/>
    <n v="5.34"/>
    <n v="858.57999999999959"/>
    <n v="8.672525252525249"/>
    <s v="Fijo"/>
    <s v="CONAFOR"/>
    <x v="8"/>
    <x v="1"/>
    <s v="Comunal"/>
    <s v="Conservación "/>
    <d v="2019-04-02T12:30:00"/>
    <d v="2019-04-02T12:35:00"/>
    <d v="2019-04-02T12:40:00"/>
    <d v="2019-04-02T13:20:00"/>
    <d v="2019-04-02T13:25:00"/>
    <m/>
    <d v="2019-04-02T18:00:00"/>
    <d v="2019-04-02T19:40:00"/>
    <d v="2019-04-02T20:40:00"/>
    <d v="1899-12-30T07:10:00"/>
    <d v="1899-12-30T00:05:00"/>
    <d v="1899-12-30T00:45:00"/>
    <d v="1899-12-30T07:10:00"/>
    <n v="0.6"/>
    <n v="1.5"/>
    <n v="0"/>
    <n v="0.3"/>
    <n v="0"/>
    <n v="0"/>
    <n v="2"/>
    <n v="0"/>
    <n v="0"/>
    <s v="Margarito Rodriguez Rodriguez "/>
    <n v="0"/>
    <n v="0"/>
    <n v="1"/>
    <n v="0"/>
    <n v="0"/>
    <n v="0"/>
    <n v="0"/>
    <n v="0"/>
    <s v="Brigada Contingencias"/>
    <n v="1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20"/>
    <n v="1397"/>
    <n v="20"/>
    <n v="0"/>
    <n v="3830"/>
    <n v="2170"/>
    <n v="6000"/>
    <n v="266"/>
    <n v="6266"/>
    <s v="Sin dato"/>
    <s v="Sin dato"/>
    <s v="Sin dato"/>
    <s v="Sin dato"/>
    <s v="Superficial "/>
    <s v="Minimo"/>
    <s v="Bosque de Encino - Pino"/>
    <s v="BQP"/>
    <s v="Fuera ANP"/>
    <s v="No aplica "/>
    <s v="FANP"/>
    <n v="0"/>
    <n v="0"/>
    <n v="0"/>
    <n v="0"/>
    <n v="0"/>
    <n v="0"/>
    <n v="0"/>
  </r>
  <r>
    <s v="19-17-0100"/>
    <n v="100"/>
    <d v="2019-04-03T00:00:00"/>
    <d v="2019-04-03T00:00:00"/>
    <s v="1 Día"/>
    <n v="5"/>
    <n v="1"/>
    <x v="11"/>
    <x v="0"/>
    <x v="3"/>
    <s v="Morelos "/>
    <n v="7"/>
    <x v="5"/>
    <s v="Santa Maria "/>
    <s v="Loma de Tenango"/>
    <m/>
    <n v="18"/>
    <n v="58"/>
    <n v="46.48"/>
    <n v="99"/>
    <n v="16"/>
    <n v="46.34"/>
    <s v="N 18° 58' 46.48'' W 99° 16' 46.34''"/>
    <n v="2043"/>
    <n v="0"/>
    <n v="0"/>
    <n v="2.11"/>
    <n v="1"/>
    <n v="0.7"/>
    <n v="0"/>
    <n v="3.8099999999999996"/>
    <n v="862.38999999999953"/>
    <n v="8.6238999999999955"/>
    <s v="Fijo"/>
    <s v="CONAFOR"/>
    <x v="3"/>
    <x v="4"/>
    <s v="Comunal"/>
    <s v="Conservación "/>
    <d v="2019-04-03T08:25:00"/>
    <d v="2019-04-03T08:28:00"/>
    <d v="2019-04-03T08:30:00"/>
    <d v="2019-04-03T08:50:00"/>
    <d v="2019-04-03T09:40:00"/>
    <m/>
    <d v="2019-04-03T16:00:00"/>
    <d v="2019-04-03T17:12:00"/>
    <d v="2019-04-03T19:00:00"/>
    <d v="1899-12-30T08:47:00"/>
    <d v="1899-12-30T00:03:00"/>
    <d v="1899-12-30T00:22:00"/>
    <d v="1899-12-30T08:47:00"/>
    <n v="0.2"/>
    <n v="0.18"/>
    <n v="0"/>
    <n v="0"/>
    <n v="0.1"/>
    <n v="0"/>
    <n v="0.1"/>
    <n v="0.2"/>
    <n v="0"/>
    <s v="Teodoro Rea Martinez"/>
    <n v="0"/>
    <n v="0"/>
    <n v="0"/>
    <n v="1"/>
    <n v="0"/>
    <n v="0"/>
    <n v="0"/>
    <n v="0"/>
    <s v="Voluntarios"/>
    <n v="7"/>
    <n v="0"/>
    <n v="0"/>
    <n v="0"/>
    <n v="0"/>
    <n v="0"/>
    <n v="0"/>
    <n v="0"/>
    <n v="0"/>
    <n v="0"/>
    <n v="0"/>
    <n v="0"/>
    <n v="0"/>
    <n v="0"/>
    <n v="25"/>
    <n v="0"/>
    <n v="0"/>
    <n v="0"/>
    <n v="0"/>
    <n v="0"/>
    <n v="32"/>
    <n v="1429"/>
    <n v="7"/>
    <n v="25"/>
    <n v="2681"/>
    <n v="5425"/>
    <n v="8106"/>
    <n v="70.599999999999994"/>
    <n v="8176.6"/>
    <s v="Sin dato"/>
    <s v="Sin dato"/>
    <s v="Sin dato"/>
    <s v="Sin dato"/>
    <s v="Superficial "/>
    <s v="Minimo"/>
    <s v="Bosque de Pino - Encino "/>
    <s v="BPQ"/>
    <s v="Fuera ANP"/>
    <s v="No aplica "/>
    <s v="FANP"/>
    <n v="0"/>
    <n v="0"/>
    <n v="0"/>
    <n v="0"/>
    <n v="0"/>
    <n v="0"/>
    <n v="0"/>
  </r>
  <r>
    <s v="19-17-0101"/>
    <n v="101"/>
    <d v="2019-04-03T00:00:00"/>
    <d v="2019-04-03T00:00:00"/>
    <s v="1 Día"/>
    <n v="6"/>
    <n v="1"/>
    <x v="11"/>
    <x v="0"/>
    <x v="3"/>
    <s v="Morelos "/>
    <n v="20"/>
    <x v="1"/>
    <s v="Santa Catarina "/>
    <s v="Llaustitla"/>
    <m/>
    <n v="18"/>
    <n v="59"/>
    <n v="3.65"/>
    <n v="99"/>
    <n v="9"/>
    <n v="46.75"/>
    <s v="N 18° 59' 03.65'' W 99° 09' 46.75''"/>
    <n v="1738"/>
    <n v="0"/>
    <n v="0"/>
    <n v="6"/>
    <n v="6"/>
    <n v="5.33"/>
    <n v="0"/>
    <n v="17.329999999999998"/>
    <n v="879.71999999999957"/>
    <n v="8.7100990099009863"/>
    <s v="Fijo"/>
    <s v="CONAFOR"/>
    <x v="3"/>
    <x v="3"/>
    <s v="Comunal"/>
    <s v="Conservación "/>
    <d v="2019-04-03T12:10:00"/>
    <d v="2019-04-03T12:20:00"/>
    <d v="2019-04-03T12:30:00"/>
    <d v="2019-04-03T13:40:00"/>
    <d v="2019-04-03T13:50:00"/>
    <m/>
    <d v="2019-04-03T17:00:00"/>
    <d v="2019-04-03T18:50:00"/>
    <m/>
    <d v="1899-12-30T06:40:00"/>
    <d v="1899-12-30T00:10:00"/>
    <d v="1899-12-30T01:20:00"/>
    <d v="1899-12-30T06:40:00"/>
    <n v="0.8"/>
    <n v="2"/>
    <n v="0"/>
    <n v="0"/>
    <n v="0.7"/>
    <n v="0"/>
    <n v="0.2"/>
    <n v="2.8"/>
    <n v="0"/>
    <s v="Rogelio Galeana Martinez"/>
    <n v="1"/>
    <n v="0"/>
    <n v="0"/>
    <n v="0"/>
    <n v="0"/>
    <n v="0"/>
    <n v="0"/>
    <n v="0"/>
    <s v="Pc Municipal"/>
    <n v="7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12"/>
    <n v="1441"/>
    <n v="12"/>
    <n v="0"/>
    <n v="2681"/>
    <n v="1085"/>
    <n v="3766"/>
    <n v="295.85000000000002"/>
    <n v="4061.85"/>
    <s v="Sin dato"/>
    <s v="Sin dato"/>
    <s v="Sin dato"/>
    <s v="Sin dato"/>
    <s v="Superficial "/>
    <s v="Minimo"/>
    <s v="Bosque de Encino"/>
    <s v="BQ"/>
    <s v="Parque Nacional El Tepozteco "/>
    <s v="No aplica "/>
    <s v="PNT"/>
    <n v="0"/>
    <n v="0"/>
    <n v="6"/>
    <n v="6"/>
    <n v="5.33"/>
    <n v="0"/>
    <n v="17.329999999999998"/>
  </r>
  <r>
    <s v="19-17-0102"/>
    <n v="102"/>
    <d v="2019-04-03T00:00:00"/>
    <d v="2019-04-03T00:00:00"/>
    <s v="1 Día"/>
    <n v="7"/>
    <n v="1"/>
    <x v="11"/>
    <x v="0"/>
    <x v="3"/>
    <s v="Morelos "/>
    <n v="11"/>
    <x v="9"/>
    <s v="Jiutepec "/>
    <s v="Cerro de la Corona "/>
    <m/>
    <n v="18"/>
    <n v="52"/>
    <n v="10.01"/>
    <n v="99"/>
    <n v="8"/>
    <n v="33.200000000000003"/>
    <s v="N 18° 52' 10.01'' W 99° 08' 33.20''"/>
    <n v="1512"/>
    <n v="0"/>
    <n v="0"/>
    <n v="1.24"/>
    <n v="4"/>
    <n v="0"/>
    <n v="0"/>
    <n v="5.24"/>
    <n v="884.95999999999958"/>
    <n v="8.6760784313725452"/>
    <s v="Fijo"/>
    <s v="Municipios"/>
    <x v="3"/>
    <x v="3"/>
    <s v="Comunal"/>
    <s v="Conservación "/>
    <d v="2019-04-03T13:15:00"/>
    <d v="2019-04-03T13:20:00"/>
    <d v="2019-04-03T14:00:00"/>
    <d v="2019-04-03T14:20:00"/>
    <d v="2019-04-03T14:20:00"/>
    <m/>
    <d v="2019-04-03T15:50:00"/>
    <d v="2019-04-03T16:30:00"/>
    <d v="2019-04-03T16:35:00"/>
    <d v="1899-12-30T03:15:00"/>
    <d v="1899-12-30T00:05:00"/>
    <d v="1899-12-30T01:00:00"/>
    <d v="1899-12-30T03:15:00"/>
    <n v="0.3"/>
    <n v="0.8"/>
    <n v="0"/>
    <n v="0"/>
    <n v="0.4"/>
    <n v="0"/>
    <n v="0"/>
    <n v="1"/>
    <n v="0"/>
    <s v="Donato Perez Martinez"/>
    <n v="0"/>
    <n v="0"/>
    <n v="0"/>
    <n v="0"/>
    <n v="0"/>
    <n v="0"/>
    <n v="0"/>
    <n v="0"/>
    <s v="Brigada Contingencias, PC Jiutepec "/>
    <n v="0"/>
    <n v="0"/>
    <n v="0"/>
    <n v="0"/>
    <n v="0"/>
    <n v="0"/>
    <n v="0"/>
    <n v="0"/>
    <n v="0"/>
    <n v="0"/>
    <n v="10"/>
    <n v="0"/>
    <n v="0"/>
    <n v="8"/>
    <n v="0"/>
    <n v="0"/>
    <n v="0"/>
    <n v="0"/>
    <n v="0"/>
    <n v="0"/>
    <n v="18"/>
    <n v="1459"/>
    <n v="18"/>
    <n v="0"/>
    <n v="0"/>
    <n v="3906"/>
    <n v="3906"/>
    <n v="247"/>
    <n v="4153"/>
    <s v="Sin dato"/>
    <s v="Sin dato"/>
    <s v="Sin dato"/>
    <s v="Sin dato"/>
    <s v="Superficial "/>
    <s v="Minimo"/>
    <s v="Selva Baja Caducifolia "/>
    <s v="SBC"/>
    <s v="Reserva Estatal Sierra Montenegro "/>
    <s v="No aplica "/>
    <s v="RESM"/>
    <n v="0"/>
    <n v="0"/>
    <n v="0"/>
    <n v="0.71"/>
    <n v="0"/>
    <n v="0"/>
    <n v="0.71"/>
  </r>
  <r>
    <s v="19-17-0103"/>
    <n v="103"/>
    <d v="2019-04-03T00:00:00"/>
    <d v="2019-04-08T00:00:00"/>
    <s v="2 o más Días"/>
    <n v="8"/>
    <n v="1"/>
    <x v="11"/>
    <x v="0"/>
    <x v="3"/>
    <s v="Morelos "/>
    <n v="7"/>
    <x v="5"/>
    <s v="Santa Maria, Tetela del Monte "/>
    <s v="Loma de Tenango, Loma de Tetepetla, La Canoa"/>
    <m/>
    <n v="18"/>
    <n v="58"/>
    <n v="57.7"/>
    <n v="99"/>
    <n v="17"/>
    <n v="1.96"/>
    <s v="N 18° 58' 57.70'' W 99° 17' 01.96''"/>
    <n v="2115"/>
    <n v="14"/>
    <n v="13"/>
    <n v="16"/>
    <n v="40.520000000000003"/>
    <n v="38"/>
    <n v="0"/>
    <n v="121.52000000000001"/>
    <n v="1006.4799999999996"/>
    <n v="9.7716504854368882"/>
    <s v="Fijo"/>
    <s v="CONAFOR"/>
    <x v="3"/>
    <x v="4"/>
    <s v="Comunal"/>
    <s v="Conservación "/>
    <d v="2019-04-03T18:15:00"/>
    <d v="2019-04-03T18:20:00"/>
    <d v="2019-04-04T08:30:00"/>
    <d v="2019-04-04T09:10:00"/>
    <d v="2019-04-04T09:20:00"/>
    <d v="2019-04-04T10:20:00"/>
    <d v="2019-04-06T14:00:00"/>
    <d v="2019-04-08T14:00:00"/>
    <d v="2019-04-08T15:00:00"/>
    <d v="1900-01-03T19:45:00"/>
    <d v="1899-12-30T00:05:00"/>
    <d v="1899-12-30T14:50:00"/>
    <d v="1900-01-03T19:45:00"/>
    <n v="1"/>
    <n v="5"/>
    <n v="2"/>
    <n v="0"/>
    <n v="1"/>
    <n v="0"/>
    <n v="0"/>
    <n v="7"/>
    <n v="0"/>
    <s v="Miguel Angel Rodriguez Guerero"/>
    <n v="1"/>
    <n v="1"/>
    <n v="1"/>
    <n v="1"/>
    <n v="1"/>
    <n v="1"/>
    <n v="1"/>
    <n v="1"/>
    <s v="CONANP, Contingencias, Bomberos Cuernavaca, Santa Maria, Tetela del Monte, CEPC"/>
    <n v="113"/>
    <n v="0"/>
    <n v="0"/>
    <n v="0"/>
    <n v="0"/>
    <n v="22"/>
    <n v="0"/>
    <n v="0"/>
    <n v="0"/>
    <n v="5"/>
    <n v="41"/>
    <n v="5"/>
    <n v="0"/>
    <n v="7"/>
    <n v="0"/>
    <n v="150"/>
    <n v="0"/>
    <n v="0"/>
    <n v="0"/>
    <n v="0"/>
    <n v="343"/>
    <n v="1802"/>
    <n v="343"/>
    <n v="0"/>
    <n v="43279"/>
    <n v="49910"/>
    <n v="93189"/>
    <n v="2705"/>
    <n v="95894"/>
    <n v="32"/>
    <n v="14"/>
    <n v="0.26"/>
    <s v="Sur"/>
    <s v="Mixto"/>
    <s v="Moderado"/>
    <s v="Bosque Mesofilo"/>
    <s v="BM"/>
    <s v="Corredor Biológico Chichinautzin "/>
    <s v="No aplica "/>
    <s v="CBC"/>
    <n v="0"/>
    <n v="0"/>
    <n v="0"/>
    <n v="2.57"/>
    <n v="0"/>
    <n v="0"/>
    <n v="2.57"/>
  </r>
  <r>
    <s v="19-17-0104"/>
    <n v="104"/>
    <d v="2019-04-06T00:00:00"/>
    <d v="2019-04-06T00:00:00"/>
    <s v="1 Día"/>
    <n v="9"/>
    <n v="1"/>
    <x v="12"/>
    <x v="3"/>
    <x v="3"/>
    <s v="Morelos "/>
    <n v="9"/>
    <x v="0"/>
    <s v="Huitzilac "/>
    <s v="Huertas de San Pedro "/>
    <s v="Nor - Poniente "/>
    <n v="19"/>
    <n v="0"/>
    <n v="44.6"/>
    <n v="99"/>
    <n v="16"/>
    <n v="2.5"/>
    <s v="N 19° 00' 44.60'' W 99° 16' 02.50''"/>
    <n v="2336"/>
    <n v="0"/>
    <n v="0"/>
    <n v="0.2"/>
    <n v="0.4"/>
    <n v="0"/>
    <n v="0"/>
    <n v="0.60000000000000009"/>
    <n v="1007.0799999999996"/>
    <n v="9.6834615384615343"/>
    <s v="Fijo"/>
    <s v="CONAFOR"/>
    <x v="3"/>
    <x v="4"/>
    <s v="Comunal"/>
    <s v="Conservación "/>
    <d v="2019-04-06T15:35:00"/>
    <d v="2019-04-06T15:40:00"/>
    <d v="2019-04-06T15:45:00"/>
    <d v="2019-04-06T16:15:00"/>
    <d v="2019-04-06T16:20:00"/>
    <m/>
    <d v="2019-04-06T17:00:00"/>
    <d v="2019-04-06T17:30:00"/>
    <d v="2019-04-06T18:00:00"/>
    <d v="1899-12-30T01:55:00"/>
    <d v="1899-12-30T00:05:00"/>
    <d v="1899-12-30T00:35:00"/>
    <d v="1899-12-30T01:55:00"/>
    <n v="0.2"/>
    <n v="0"/>
    <n v="0"/>
    <n v="0"/>
    <n v="0"/>
    <n v="0"/>
    <n v="0.2"/>
    <n v="0.2"/>
    <n v="0"/>
    <s v="Federico Galeana Simeon"/>
    <n v="0"/>
    <n v="1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11"/>
    <n v="9"/>
    <n v="0"/>
    <n v="3447"/>
    <n v="0"/>
    <n v="3447"/>
    <n v="114"/>
    <n v="3561"/>
    <s v="Sin dato"/>
    <s v="Sin dato"/>
    <s v="Sin dato"/>
    <s v="Sin dato"/>
    <s v="Superficial "/>
    <s v="Minimo"/>
    <s v="Bosque Mesofilo"/>
    <s v="BM"/>
    <s v="Corredor Biológico Chichinautzin "/>
    <s v="No aplica "/>
    <s v="CBC"/>
    <n v="0"/>
    <n v="0"/>
    <n v="0.2"/>
    <n v="0.4"/>
    <n v="0"/>
    <n v="0"/>
    <n v="0.60000000000000009"/>
  </r>
  <r>
    <s v="19-17-0105"/>
    <n v="105"/>
    <d v="2019-03-27T00:00:00"/>
    <d v="2019-03-27T00:00:00"/>
    <s v="1 Día"/>
    <n v="90"/>
    <n v="1"/>
    <x v="10"/>
    <x v="0"/>
    <x v="2"/>
    <s v="Morelos "/>
    <n v="20"/>
    <x v="1"/>
    <s v="San Juan Tlacotenco"/>
    <s v="Piedras Anchas "/>
    <m/>
    <n v="19"/>
    <n v="3"/>
    <n v="13.09"/>
    <n v="99"/>
    <n v="5"/>
    <n v="8.6300000000000008"/>
    <s v="N 19° 03' 13.09'' W 99° 05' 08.63''"/>
    <n v="2966"/>
    <n v="0"/>
    <n v="0"/>
    <n v="0"/>
    <n v="0.9"/>
    <n v="0"/>
    <n v="0"/>
    <n v="0.9"/>
    <n v="1007.9799999999996"/>
    <n v="9.5998095238095189"/>
    <s v="Fijo"/>
    <s v="CONANP"/>
    <x v="0"/>
    <x v="0"/>
    <s v="Comunal"/>
    <s v="Conservación "/>
    <d v="2019-03-27T11:00:00"/>
    <d v="2019-03-27T11:10:00"/>
    <d v="2019-03-27T13:10:00"/>
    <d v="2019-03-27T14:40:00"/>
    <d v="2019-03-27T14:45:00"/>
    <m/>
    <d v="2019-03-27T17:10:00"/>
    <d v="2019-03-27T17:40:00"/>
    <d v="2019-03-27T19:50:00"/>
    <d v="1899-12-30T06:40:00"/>
    <d v="1899-12-30T00:10:00"/>
    <d v="1899-12-30T03:30:00"/>
    <d v="1899-12-30T06:40:00"/>
    <n v="0.4"/>
    <n v="0.3"/>
    <n v="0"/>
    <n v="0"/>
    <n v="0"/>
    <n v="0"/>
    <n v="0.5"/>
    <n v="0.6"/>
    <n v="0"/>
    <s v="Ezequiel Rojas Arevalo"/>
    <n v="0"/>
    <n v="0"/>
    <n v="0"/>
    <n v="0"/>
    <n v="1"/>
    <n v="0"/>
    <n v="0"/>
    <n v="0"/>
    <s v="Camaleon "/>
    <n v="1"/>
    <n v="0"/>
    <n v="0"/>
    <n v="0"/>
    <n v="0"/>
    <n v="10"/>
    <n v="0"/>
    <n v="0"/>
    <n v="0"/>
    <n v="0"/>
    <n v="0"/>
    <n v="0"/>
    <n v="16"/>
    <n v="3"/>
    <n v="0"/>
    <n v="0"/>
    <n v="0"/>
    <n v="0"/>
    <n v="0"/>
    <n v="0"/>
    <n v="30"/>
    <n v="1841"/>
    <n v="30"/>
    <n v="0"/>
    <n v="383"/>
    <n v="6293"/>
    <n v="6676"/>
    <n v="380"/>
    <n v="7056"/>
    <s v="Sin dato"/>
    <s v="Sin dato"/>
    <s v="Sin dato"/>
    <s v="Sin dato"/>
    <s v="Superficial "/>
    <s v="Minimo"/>
    <s v="Bosque de Pino "/>
    <s v="BP"/>
    <s v="Parque Nacional El Tepozteco "/>
    <s v="No aplica "/>
    <s v="PNT"/>
    <n v="0"/>
    <n v="0"/>
    <n v="0"/>
    <n v="0.9"/>
    <n v="0"/>
    <n v="0"/>
    <n v="0.9"/>
  </r>
  <r>
    <s v="19-17-0106"/>
    <n v="106"/>
    <d v="2019-04-09T00:00:00"/>
    <d v="2019-04-12T00:00:00"/>
    <s v="2 o más Días"/>
    <n v="10"/>
    <n v="1"/>
    <x v="12"/>
    <x v="4"/>
    <x v="3"/>
    <s v="Morelos "/>
    <n v="7"/>
    <x v="5"/>
    <s v="Santa Maria "/>
    <s v="Loma de Tenango, Loma de Tetepetla, Las Maromas "/>
    <m/>
    <n v="18"/>
    <n v="59"/>
    <n v="36.380000000000003"/>
    <n v="99"/>
    <n v="18"/>
    <n v="3.24"/>
    <s v="N 18° 59' 36.38'' W 99° 18' 03.24''"/>
    <n v="2388"/>
    <n v="0"/>
    <n v="10"/>
    <n v="14.54"/>
    <n v="11"/>
    <n v="11"/>
    <n v="0"/>
    <n v="46.54"/>
    <n v="1054.5199999999995"/>
    <n v="9.9483018867924482"/>
    <s v="Fijo"/>
    <s v="CONAFOR"/>
    <x v="2"/>
    <x v="6"/>
    <s v="Comunal"/>
    <s v="Conservación "/>
    <d v="2019-04-09T06:55:00"/>
    <d v="2019-04-09T07:00:00"/>
    <d v="2019-04-09T08:20:00"/>
    <d v="2019-04-09T08:50:00"/>
    <d v="2019-04-09T09:00:00"/>
    <d v="2019-04-09T10:13:00"/>
    <d v="2019-04-11T17:00:00"/>
    <d v="2019-04-12T16:30:00"/>
    <m/>
    <d v="1900-01-02T09:35:00"/>
    <d v="1899-12-30T00:05:00"/>
    <d v="1899-12-30T01:50:00"/>
    <d v="1900-01-02T09:35:00"/>
    <n v="0.8"/>
    <n v="3"/>
    <n v="1"/>
    <n v="0"/>
    <n v="1"/>
    <n v="0"/>
    <n v="0"/>
    <n v="4"/>
    <n v="0"/>
    <s v="Francisco Manuel Romano Ramirez "/>
    <n v="1"/>
    <n v="1"/>
    <n v="1"/>
    <n v="1"/>
    <n v="0"/>
    <n v="0"/>
    <n v="0"/>
    <n v="0"/>
    <s v="Brigada Contingencias, Santa Maria, PC "/>
    <n v="50"/>
    <n v="0"/>
    <n v="0"/>
    <n v="0"/>
    <n v="0"/>
    <n v="0"/>
    <n v="0"/>
    <n v="0"/>
    <n v="0"/>
    <n v="0"/>
    <n v="44"/>
    <n v="2"/>
    <n v="0"/>
    <n v="0"/>
    <n v="35"/>
    <n v="22"/>
    <n v="0"/>
    <n v="0"/>
    <n v="0"/>
    <n v="0"/>
    <n v="153"/>
    <n v="1994"/>
    <n v="118"/>
    <n v="35"/>
    <n v="19150"/>
    <n v="22351"/>
    <n v="41501"/>
    <n v="1900"/>
    <n v="43401"/>
    <n v="18"/>
    <n v="0"/>
    <n v="0.48"/>
    <s v="Sur  - Norte"/>
    <s v="Superficial "/>
    <s v="Minimo"/>
    <s v="Bosque Mesofilo"/>
    <s v="BM"/>
    <s v="Corredor Biológico Chichinautzin "/>
    <s v="No aplica "/>
    <s v="CBC"/>
    <n v="0"/>
    <n v="6"/>
    <n v="12.54"/>
    <n v="7"/>
    <n v="7"/>
    <n v="0"/>
    <n v="32.54"/>
  </r>
  <r>
    <s v="19-17-0107"/>
    <n v="107"/>
    <d v="2019-04-11T00:00:00"/>
    <d v="2019-04-11T00:00:00"/>
    <s v="1 Día"/>
    <n v="11"/>
    <n v="1"/>
    <x v="12"/>
    <x v="2"/>
    <x v="3"/>
    <s v="Morelos "/>
    <n v="9"/>
    <x v="0"/>
    <s v="Huitzilac "/>
    <s v="El Tezontle"/>
    <s v="Poniente"/>
    <n v="19"/>
    <n v="3"/>
    <n v="4.1100000000000003"/>
    <n v="99"/>
    <n v="16"/>
    <n v="21.64"/>
    <s v="N 19° 03' 04.11'' W 99° 16' 21.64''"/>
    <n v="2754"/>
    <n v="0"/>
    <n v="0"/>
    <n v="2"/>
    <n v="6.97"/>
    <n v="0"/>
    <n v="0"/>
    <n v="8.9699999999999989"/>
    <n v="1063.4899999999996"/>
    <n v="9.9391588785046689"/>
    <s v="Fijo"/>
    <s v="CONAFOR"/>
    <x v="3"/>
    <x v="4"/>
    <s v="Comunal"/>
    <s v="Conservación "/>
    <d v="2019-04-11T12:40:00"/>
    <d v="2019-04-11T12:43:00"/>
    <d v="2019-04-11T12:45:00"/>
    <d v="2019-04-11T13:30:00"/>
    <d v="2019-04-11T13:32:00"/>
    <m/>
    <d v="2019-04-11T17:00:00"/>
    <d v="2019-04-11T18:00:00"/>
    <d v="2019-04-11T19:00:00"/>
    <d v="1899-12-30T05:20:00"/>
    <d v="1899-12-30T00:03:00"/>
    <d v="1899-12-30T00:47:00"/>
    <d v="1899-12-30T05:20:00"/>
    <n v="0.5"/>
    <n v="0.8"/>
    <n v="0"/>
    <n v="0"/>
    <n v="0.15"/>
    <n v="0"/>
    <n v="0.8"/>
    <n v="1"/>
    <n v="0"/>
    <s v="Hesiquio Antonino Rios Ortega"/>
    <n v="0"/>
    <n v="0"/>
    <n v="0"/>
    <n v="1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003"/>
    <n v="9"/>
    <n v="0"/>
    <n v="3447"/>
    <n v="0"/>
    <n v="3447"/>
    <n v="114"/>
    <n v="3561"/>
    <s v="Sin dato"/>
    <s v="Sin dato"/>
    <s v="Sin dato"/>
    <s v="Sin dato"/>
    <s v="Superficial "/>
    <s v="Minimo"/>
    <s v="Bosque Mesofilo"/>
    <s v="BM"/>
    <s v="Corredor Biológico Chichinautzin "/>
    <s v="No aplica "/>
    <s v="CBC"/>
    <n v="0"/>
    <n v="0"/>
    <n v="2"/>
    <n v="6.97"/>
    <n v="0"/>
    <n v="0"/>
    <n v="8.9699999999999989"/>
  </r>
  <r>
    <s v="19-17-0108"/>
    <n v="108"/>
    <d v="2019-04-12T00:00:00"/>
    <d v="2019-04-15T00:00:00"/>
    <s v="2 o más Días"/>
    <n v="12"/>
    <n v="1"/>
    <x v="13"/>
    <x v="1"/>
    <x v="3"/>
    <s v="Morelos "/>
    <n v="23"/>
    <x v="2"/>
    <s v="Tlalnepantla"/>
    <s v="Poniente del Chalchuca, Mixtepec, El Pedregal, Ocoyohualo"/>
    <m/>
    <n v="19"/>
    <n v="3"/>
    <n v="5.62"/>
    <n v="98"/>
    <n v="59"/>
    <n v="15.21"/>
    <s v="N 19° 03' 05.62'' W 98° 59' 15.21''"/>
    <n v="2745"/>
    <n v="0"/>
    <n v="0"/>
    <n v="144.6"/>
    <n v="241.93"/>
    <n v="96.4"/>
    <n v="0"/>
    <n v="482.92999999999995"/>
    <n v="1546.4199999999996"/>
    <n v="14.318703703703701"/>
    <s v="Fijo"/>
    <s v="CONAFOR"/>
    <x v="1"/>
    <x v="1"/>
    <s v="Comunal"/>
    <s v="Predio Pago por Servicios Ambientales "/>
    <d v="2019-04-12T09:00:00"/>
    <d v="2019-04-12T09:05:00"/>
    <d v="2019-04-12T09:10:00"/>
    <d v="2019-04-12T09:40:00"/>
    <d v="2019-04-12T09:50:00"/>
    <d v="2019-04-12T13:30:00"/>
    <d v="2019-04-14T15:00:00"/>
    <d v="2019-04-15T17:00:00"/>
    <d v="2019-04-15T22:00:00"/>
    <d v="1900-01-02T08:00:00"/>
    <d v="1899-12-30T00:05:00"/>
    <d v="1899-12-30T00:35:00"/>
    <d v="1900-01-02T08:00:00"/>
    <n v="3"/>
    <n v="7"/>
    <n v="2"/>
    <n v="0"/>
    <n v="2"/>
    <n v="0"/>
    <n v="2"/>
    <n v="16"/>
    <n v="0"/>
    <s v="Francisco Manuel Romano Ramirez "/>
    <n v="0"/>
    <n v="1"/>
    <n v="1"/>
    <n v="1"/>
    <n v="0"/>
    <n v="1"/>
    <n v="0"/>
    <n v="0"/>
    <s v="CONANP, PC, PA"/>
    <n v="64"/>
    <n v="0"/>
    <n v="0"/>
    <n v="0"/>
    <n v="0"/>
    <n v="50"/>
    <n v="0"/>
    <n v="0"/>
    <n v="0"/>
    <n v="0"/>
    <n v="0"/>
    <n v="0"/>
    <n v="12"/>
    <n v="18"/>
    <n v="0"/>
    <n v="7"/>
    <n v="0"/>
    <n v="0"/>
    <n v="0"/>
    <n v="0"/>
    <n v="151"/>
    <n v="2154"/>
    <n v="151"/>
    <n v="0"/>
    <n v="24512"/>
    <n v="18879"/>
    <n v="43391"/>
    <n v="2470"/>
    <n v="45861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144.6"/>
    <n v="241.93"/>
    <n v="96.4"/>
    <n v="0"/>
    <n v="482.92999999999995"/>
  </r>
  <r>
    <s v="19-17-0109"/>
    <n v="109"/>
    <d v="2019-04-12T00:00:00"/>
    <d v="2019-04-15T00:00:00"/>
    <s v="2 o más Días"/>
    <n v="13"/>
    <n v="1"/>
    <x v="13"/>
    <x v="1"/>
    <x v="3"/>
    <s v="Morelos "/>
    <n v="20"/>
    <x v="1"/>
    <s v="Santa Catarina "/>
    <s v="Cuescometla, Jaguey, Tlacuili"/>
    <m/>
    <n v="18"/>
    <n v="59"/>
    <n v="7"/>
    <n v="99"/>
    <n v="9"/>
    <n v="53.36"/>
    <s v="N 18° 59' 07.00'' W 99° 09' 53.36''"/>
    <n v="1754"/>
    <n v="0"/>
    <n v="0"/>
    <n v="47"/>
    <n v="45"/>
    <n v="70.099999999999994"/>
    <n v="0"/>
    <n v="162.1"/>
    <n v="1708.5199999999995"/>
    <n v="15.674495412844033"/>
    <s v="Fijo"/>
    <s v="CONAFOR"/>
    <x v="3"/>
    <x v="4"/>
    <s v="Comunal"/>
    <s v="Conservación "/>
    <d v="2019-04-12T15:35:00"/>
    <d v="2019-04-12T15:40:00"/>
    <d v="2019-04-12T15:50:00"/>
    <d v="2019-04-12T16:20:00"/>
    <d v="2019-04-12T16:30:00"/>
    <d v="2019-04-12T16:30:00"/>
    <d v="2019-04-14T17:00:00"/>
    <d v="2019-04-15T13:45:00"/>
    <d v="2019-04-15T14:30:00"/>
    <d v="1900-01-01T22:10:00"/>
    <d v="1899-12-30T00:05:00"/>
    <d v="1899-12-30T00:40:00"/>
    <d v="1900-01-01T22:10:00"/>
    <n v="2"/>
    <n v="5"/>
    <n v="0"/>
    <n v="0"/>
    <n v="1"/>
    <n v="0"/>
    <n v="0"/>
    <n v="7"/>
    <n v="0"/>
    <s v="Francisco Manuel Romano Ramirez "/>
    <n v="0"/>
    <n v="0"/>
    <n v="1"/>
    <n v="1"/>
    <n v="1"/>
    <n v="1"/>
    <n v="0"/>
    <n v="0"/>
    <s v="Camaleon, PA, PC"/>
    <n v="30"/>
    <n v="0"/>
    <n v="0"/>
    <n v="0"/>
    <n v="0"/>
    <n v="18"/>
    <n v="0"/>
    <n v="0"/>
    <n v="0"/>
    <n v="0"/>
    <n v="0"/>
    <n v="0"/>
    <n v="12"/>
    <n v="10"/>
    <n v="0"/>
    <n v="0"/>
    <n v="0"/>
    <n v="0"/>
    <n v="0"/>
    <n v="0"/>
    <n v="70"/>
    <n v="2224"/>
    <n v="70"/>
    <n v="0"/>
    <n v="11490"/>
    <n v="8680"/>
    <n v="20170"/>
    <n v="760"/>
    <n v="20930"/>
    <s v="Sin dato"/>
    <s v="Sin dato"/>
    <s v="Sin dato"/>
    <s v="Sin dato"/>
    <s v="Superficial "/>
    <s v="Minimo"/>
    <s v="Bosque de Encino - Pino"/>
    <s v="BQP"/>
    <s v="Parque Nacional El Tepozteco "/>
    <s v="No aplica "/>
    <s v="PNT"/>
    <n v="0"/>
    <n v="0"/>
    <n v="47"/>
    <n v="45"/>
    <n v="70.099999999999994"/>
    <n v="0"/>
    <n v="162.1"/>
  </r>
  <r>
    <s v="19-17-0110"/>
    <n v="110"/>
    <d v="2019-04-13T00:00:00"/>
    <d v="2019-04-13T00:00:00"/>
    <s v="1 Día"/>
    <n v="14"/>
    <n v="1"/>
    <x v="13"/>
    <x v="3"/>
    <x v="3"/>
    <s v="Morelos "/>
    <n v="23"/>
    <x v="2"/>
    <s v="Tlalnepantla"/>
    <s v="Fraccionamiento del Camil"/>
    <s v="Norte "/>
    <n v="19"/>
    <n v="3"/>
    <n v="5.55"/>
    <n v="98"/>
    <n v="57"/>
    <n v="54.34"/>
    <s v="N 19° 03' 05.55'' W 98° 57' 54.34''"/>
    <n v="2653"/>
    <n v="0"/>
    <n v="0"/>
    <n v="20"/>
    <n v="31.02"/>
    <n v="20"/>
    <n v="0"/>
    <n v="71.02"/>
    <n v="1779.5399999999995"/>
    <n v="16.17763636363636"/>
    <s v="Fijo"/>
    <s v="CONAFOR"/>
    <x v="0"/>
    <x v="0"/>
    <s v="Comunal"/>
    <s v="Conservación "/>
    <d v="2019-04-13T07:55:00"/>
    <d v="2019-04-13T08:00:00"/>
    <d v="2019-04-13T08:25:00"/>
    <d v="2019-04-13T10:20:00"/>
    <d v="2019-04-13T10:30:00"/>
    <m/>
    <d v="2019-04-13T19:00:00"/>
    <d v="2019-04-13T20:00:00"/>
    <d v="2019-04-13T23:00:00"/>
    <d v="1899-12-30T12:05:00"/>
    <d v="1899-12-30T00:05:00"/>
    <d v="1899-12-30T02:20:00"/>
    <d v="1899-12-30T12:05:00"/>
    <n v="2"/>
    <n v="1"/>
    <n v="0"/>
    <n v="0"/>
    <n v="1.5"/>
    <n v="0"/>
    <n v="0.7"/>
    <n v="0.9"/>
    <n v="0"/>
    <s v="Rogelio Galeana Martinez"/>
    <n v="1"/>
    <n v="1"/>
    <n v="0"/>
    <n v="0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232"/>
    <n v="8"/>
    <n v="0"/>
    <n v="3064"/>
    <n v="0"/>
    <n v="3064"/>
    <n v="720"/>
    <n v="3784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20"/>
    <n v="31.02"/>
    <n v="20"/>
    <n v="0"/>
    <n v="71.02"/>
  </r>
  <r>
    <s v="19-17-0111"/>
    <n v="111"/>
    <d v="2019-04-14T00:00:00"/>
    <d v="2019-04-14T00:00:00"/>
    <s v="1 Día"/>
    <n v="15"/>
    <n v="1"/>
    <x v="13"/>
    <x v="5"/>
    <x v="3"/>
    <s v="Morelos "/>
    <n v="23"/>
    <x v="2"/>
    <s v="Tlalnepantla"/>
    <s v="Paso de Leyva "/>
    <s v="Sur - Oriente "/>
    <n v="19"/>
    <n v="3"/>
    <n v="7.71"/>
    <n v="98"/>
    <n v="58"/>
    <n v="26.49"/>
    <s v="N 19° 03' 07.71'' W 98° 58' 26.49''"/>
    <n v="2662"/>
    <n v="0"/>
    <n v="0"/>
    <n v="5"/>
    <n v="15.79"/>
    <n v="5"/>
    <n v="0"/>
    <n v="25.79"/>
    <n v="1805.3299999999995"/>
    <n v="16.26423423423423"/>
    <s v="Fijo"/>
    <s v="CONAFOR"/>
    <x v="0"/>
    <x v="0"/>
    <s v="Comunal"/>
    <s v="Conservación "/>
    <d v="2019-04-14T12:56:00"/>
    <d v="2019-04-14T12:50:00"/>
    <d v="2019-04-14T12:55:00"/>
    <d v="2019-04-14T13:50:00"/>
    <d v="2019-04-14T14:00:00"/>
    <m/>
    <d v="2019-04-14T19:30:00"/>
    <d v="2019-04-14T20:30:00"/>
    <d v="2019-04-15T00:00:00"/>
    <d v="1899-12-30T07:40:00"/>
    <d v="1899-12-30T00:06:00"/>
    <d v="1899-12-30T00:54:00"/>
    <d v="1899-12-30T07:40:00"/>
    <n v="0.8"/>
    <n v="1.2"/>
    <n v="0"/>
    <n v="0"/>
    <n v="0.8"/>
    <n v="0"/>
    <n v="1"/>
    <n v="2"/>
    <n v="0"/>
    <s v="Rogelio Galeana Martinez"/>
    <n v="1"/>
    <n v="0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241"/>
    <n v="9"/>
    <n v="0"/>
    <n v="3447"/>
    <n v="0"/>
    <n v="3447"/>
    <n v="817"/>
    <n v="4264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5"/>
    <n v="15.79"/>
    <n v="5"/>
    <n v="0"/>
    <n v="25.79"/>
  </r>
  <r>
    <s v="19-17-0112"/>
    <n v="112"/>
    <d v="2019-04-14T00:00:00"/>
    <d v="2019-04-14T00:00:00"/>
    <s v="1 Día"/>
    <n v="16"/>
    <n v="1"/>
    <x v="13"/>
    <x v="5"/>
    <x v="3"/>
    <s v="Morelos "/>
    <n v="9"/>
    <x v="0"/>
    <s v="Huitzilac "/>
    <s v="km 76 de la Autopista Mexico - Cuernavaca "/>
    <s v="Norte "/>
    <n v="18"/>
    <n v="59"/>
    <n v="6.67"/>
    <n v="99"/>
    <n v="13"/>
    <n v="0.47"/>
    <s v="N 18° 59' 06.67'' W 99° 13' 00.47''"/>
    <n v="1961"/>
    <n v="0"/>
    <n v="0"/>
    <n v="0.5"/>
    <n v="0.5"/>
    <n v="1.88"/>
    <n v="0"/>
    <n v="2.88"/>
    <n v="1808.2099999999996"/>
    <n v="16.144732142857141"/>
    <s v="Fijo"/>
    <s v="CONAFOR"/>
    <x v="2"/>
    <x v="6"/>
    <s v="Comunal"/>
    <s v="Conservación "/>
    <d v="2019-04-14T15:00:00"/>
    <d v="2019-04-14T15:05:00"/>
    <d v="2019-04-14T16:00:00"/>
    <d v="2019-04-14T16:20:00"/>
    <d v="2019-04-14T16:30:00"/>
    <m/>
    <d v="2019-04-14T19:00:00"/>
    <d v="2019-04-14T20:30:00"/>
    <d v="2019-04-14T21:30:00"/>
    <d v="1899-12-30T05:30:00"/>
    <d v="1899-12-30T00:05:00"/>
    <d v="1899-12-30T01:15:00"/>
    <d v="1899-12-30T05:30:00"/>
    <n v="0"/>
    <n v="0.4"/>
    <n v="0"/>
    <n v="0"/>
    <n v="0.2"/>
    <n v="0"/>
    <n v="0"/>
    <n v="0.4"/>
    <n v="0"/>
    <s v="Francisco Manuel Romano Ramirez "/>
    <n v="0"/>
    <n v="0"/>
    <n v="1"/>
    <n v="1"/>
    <n v="0"/>
    <n v="1"/>
    <n v="0"/>
    <n v="0"/>
    <s v="Voluntarios"/>
    <n v="19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29"/>
    <n v="2270"/>
    <n v="19"/>
    <n v="10"/>
    <n v="7277"/>
    <n v="2170"/>
    <n v="9447"/>
    <n v="190"/>
    <n v="9637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0.5"/>
    <n v="0.5"/>
    <n v="1.88"/>
    <n v="0"/>
    <n v="2.88"/>
  </r>
  <r>
    <s v="19-17-0113"/>
    <n v="113"/>
    <d v="2019-04-15T00:00:00"/>
    <d v="2019-04-15T00:00:00"/>
    <s v="1 Día"/>
    <n v="17"/>
    <n v="1"/>
    <x v="13"/>
    <x v="6"/>
    <x v="3"/>
    <s v="Morelos "/>
    <n v="9"/>
    <x v="0"/>
    <s v="Huitzilac "/>
    <s v="km 76 + 700 de la Autopista Mexico - Cuernavaca "/>
    <s v="Norte "/>
    <n v="18"/>
    <n v="59"/>
    <n v="7.03"/>
    <n v="99"/>
    <n v="13"/>
    <n v="1.41"/>
    <s v="N 18° 59' 07.03'' W 99° 13' 01.41''"/>
    <n v="1962"/>
    <n v="0"/>
    <n v="0"/>
    <n v="9"/>
    <n v="4"/>
    <n v="3.46"/>
    <n v="0"/>
    <n v="16.46"/>
    <n v="1824.6699999999996"/>
    <n v="16.1475221238938"/>
    <s v="Fijo"/>
    <s v="CONAFOR"/>
    <x v="2"/>
    <x v="6"/>
    <s v="Comunal"/>
    <s v="Predio Pago por Servicios Ambientales "/>
    <d v="2019-04-15T08:10:00"/>
    <d v="2019-04-15T08:15:00"/>
    <d v="2019-04-15T08:20:00"/>
    <d v="2019-04-15T08:50:00"/>
    <d v="2019-04-15T08:55:00"/>
    <m/>
    <d v="2019-04-15T16:00:00"/>
    <d v="2019-04-15T17:30:00"/>
    <m/>
    <d v="1899-12-30T09:20:00"/>
    <d v="1899-12-30T00:05:00"/>
    <d v="1899-12-30T00:35:00"/>
    <d v="1899-12-30T09:20:00"/>
    <n v="0"/>
    <n v="1.8"/>
    <n v="0"/>
    <n v="0"/>
    <n v="200"/>
    <n v="0"/>
    <n v="0"/>
    <n v="2"/>
    <n v="0"/>
    <s v="Margarito Rodriguez Rodriguez "/>
    <n v="1"/>
    <n v="0"/>
    <n v="1"/>
    <n v="0"/>
    <n v="0"/>
    <n v="1"/>
    <n v="0"/>
    <n v="0"/>
    <s v="Brigada de Contingencias, Voluntarios "/>
    <n v="19"/>
    <n v="0"/>
    <n v="0"/>
    <n v="0"/>
    <n v="0"/>
    <n v="0"/>
    <n v="0"/>
    <n v="0"/>
    <n v="0"/>
    <n v="0"/>
    <n v="11"/>
    <n v="0"/>
    <n v="0"/>
    <n v="0"/>
    <n v="10"/>
    <n v="0"/>
    <n v="0"/>
    <n v="0"/>
    <n v="0"/>
    <n v="0"/>
    <n v="40"/>
    <n v="2310"/>
    <n v="30"/>
    <n v="10"/>
    <n v="7277"/>
    <n v="4557"/>
    <n v="11834"/>
    <n v="342"/>
    <n v="12176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9"/>
    <n v="4"/>
    <n v="3.46"/>
    <n v="0"/>
    <n v="16.46"/>
  </r>
  <r>
    <s v="19-17-0114"/>
    <n v="114"/>
    <d v="2019-04-15T00:00:00"/>
    <d v="2019-04-15T00:00:00"/>
    <s v="1 Día"/>
    <n v="18"/>
    <n v="1"/>
    <x v="13"/>
    <x v="6"/>
    <x v="3"/>
    <s v="Morelos "/>
    <n v="9"/>
    <x v="0"/>
    <s v="Huitzilac "/>
    <s v="La Cruz "/>
    <m/>
    <n v="19"/>
    <n v="2"/>
    <n v="35.200000000000003"/>
    <n v="99"/>
    <n v="17"/>
    <n v="51.61"/>
    <s v="N 19° 02' 35.20'' W 99° 17' 51.61''"/>
    <n v="2912"/>
    <n v="0"/>
    <n v="0"/>
    <n v="2"/>
    <n v="3.27"/>
    <n v="3"/>
    <n v="0"/>
    <n v="8.27"/>
    <n v="1832.9399999999996"/>
    <n v="16.078421052631576"/>
    <s v="Fijo"/>
    <s v="CONAFOR"/>
    <x v="1"/>
    <x v="1"/>
    <s v="Comunal"/>
    <s v="Conservación "/>
    <d v="2019-04-15T09:00:00"/>
    <d v="2019-04-15T09:05:00"/>
    <d v="2019-04-15T09:10:00"/>
    <d v="2019-04-15T09:25:00"/>
    <d v="2019-04-15T09:25:00"/>
    <m/>
    <d v="2019-04-15T13:13:00"/>
    <d v="2019-04-15T17:00:00"/>
    <d v="2019-04-15T17:25:00"/>
    <d v="1899-12-30T08:00:00"/>
    <d v="1899-12-30T00:05:00"/>
    <d v="1899-12-30T00:20:00"/>
    <d v="1899-12-30T08:00:00"/>
    <n v="0.3"/>
    <n v="0.9"/>
    <n v="0"/>
    <n v="0"/>
    <n v="0.2"/>
    <n v="0"/>
    <n v="0"/>
    <n v="1"/>
    <n v="0"/>
    <s v="Horacio Torres Agular"/>
    <n v="0"/>
    <n v="0"/>
    <n v="0"/>
    <n v="0"/>
    <n v="0"/>
    <n v="0"/>
    <n v="0"/>
    <n v="0"/>
    <s v="CONANP, Voluntarios, San Juan, Union Camionera"/>
    <n v="0"/>
    <n v="0"/>
    <n v="0"/>
    <n v="0"/>
    <n v="0"/>
    <n v="10"/>
    <n v="0"/>
    <n v="0"/>
    <n v="0"/>
    <n v="0"/>
    <n v="0"/>
    <n v="0"/>
    <n v="10"/>
    <n v="0"/>
    <n v="5"/>
    <n v="30"/>
    <n v="0"/>
    <n v="0"/>
    <n v="0"/>
    <n v="0"/>
    <n v="55"/>
    <n v="2365"/>
    <n v="50"/>
    <n v="5"/>
    <n v="0"/>
    <n v="11935"/>
    <n v="11935"/>
    <n v="190"/>
    <n v="12125"/>
    <s v="Sin dato"/>
    <s v="Sin dato"/>
    <s v="Sin dato"/>
    <s v="Sin dato"/>
    <s v="Superficial "/>
    <s v="Minimo"/>
    <s v="Bosque de Oyamel"/>
    <s v="BA"/>
    <s v="Parque Nacional Lagunas de Zempoala "/>
    <s v="No aplica "/>
    <s v="PNLZ "/>
    <n v="0"/>
    <n v="0"/>
    <n v="2"/>
    <n v="3.27"/>
    <n v="3"/>
    <n v="0"/>
    <n v="8.27"/>
  </r>
  <r>
    <s v="19-17-0115"/>
    <n v="115"/>
    <d v="2019-04-15T00:00:00"/>
    <d v="2019-04-16T00:00:00"/>
    <s v="2 o más Días"/>
    <n v="19"/>
    <n v="1"/>
    <x v="13"/>
    <x v="6"/>
    <x v="3"/>
    <s v="Morelos "/>
    <n v="18"/>
    <x v="10"/>
    <s v="Temixco"/>
    <s v="El Jumil"/>
    <m/>
    <n v="18"/>
    <n v="47"/>
    <n v="51.41"/>
    <n v="99"/>
    <n v="16"/>
    <n v="47.61"/>
    <s v="N 18° 47' 51.41'' W 99° 16' 47.61''"/>
    <n v="1196"/>
    <n v="0"/>
    <n v="0"/>
    <n v="30"/>
    <n v="20"/>
    <n v="7"/>
    <n v="0"/>
    <n v="57"/>
    <n v="1889.9399999999996"/>
    <n v="16.434260869565215"/>
    <s v="Fijo"/>
    <s v="Sector Privado y Social"/>
    <x v="3"/>
    <x v="4"/>
    <s v="Comunal"/>
    <s v="Conservación "/>
    <d v="2019-04-15T15:00:00"/>
    <d v="2019-04-15T15:05:00"/>
    <d v="2019-04-15T15:40:00"/>
    <d v="2019-04-15T16:50:00"/>
    <d v="2019-04-15T17:00:00"/>
    <d v="2019-04-15T17:30:00"/>
    <d v="2019-04-16T14:30:00"/>
    <d v="2019-04-16T17:00:00"/>
    <d v="2019-04-16T18:20:00"/>
    <d v="1899-12-31T02:00:00"/>
    <d v="1899-12-30T00:05:00"/>
    <d v="1899-12-30T01:45:00"/>
    <d v="1899-12-31T02:00:00"/>
    <n v="0.8"/>
    <n v="3"/>
    <n v="0"/>
    <n v="0"/>
    <n v="1"/>
    <n v="0"/>
    <n v="0"/>
    <n v="4"/>
    <n v="0"/>
    <s v="Donato Perez Martinez"/>
    <n v="0"/>
    <n v="0"/>
    <n v="1"/>
    <n v="0"/>
    <n v="0"/>
    <n v="0"/>
    <n v="0"/>
    <n v="0"/>
    <s v="Brigada Contingencias, F16, PC"/>
    <n v="10"/>
    <n v="0"/>
    <n v="0"/>
    <n v="0"/>
    <n v="0"/>
    <n v="0"/>
    <n v="0"/>
    <n v="0"/>
    <n v="0"/>
    <n v="0"/>
    <n v="25"/>
    <n v="0"/>
    <n v="0"/>
    <n v="16"/>
    <n v="0"/>
    <n v="0"/>
    <n v="0"/>
    <n v="0"/>
    <n v="0"/>
    <n v="0"/>
    <n v="51"/>
    <n v="2416"/>
    <n v="51"/>
    <n v="0"/>
    <n v="3830"/>
    <n v="8897"/>
    <n v="12727"/>
    <n v="1425"/>
    <n v="14152"/>
    <s v="Sin dato"/>
    <s v="Sin dato"/>
    <s v="Sin dato"/>
    <s v="Sin dato"/>
    <s v="Superficial "/>
    <s v="Minimo"/>
    <s v="Selva Baja Caducifolia "/>
    <s v="SBC"/>
    <s v="Fuera ANP"/>
    <s v="No aplica "/>
    <s v="FANP"/>
    <n v="0"/>
    <n v="0"/>
    <n v="0"/>
    <n v="0"/>
    <n v="0"/>
    <n v="0"/>
    <n v="0"/>
  </r>
  <r>
    <s v="19-17-0116"/>
    <n v="116"/>
    <d v="2019-04-16T00:00:00"/>
    <d v="2019-04-16T00:00:00"/>
    <s v="1 Día"/>
    <n v="20"/>
    <n v="1"/>
    <x v="13"/>
    <x v="4"/>
    <x v="3"/>
    <s v="Morelos "/>
    <n v="9"/>
    <x v="0"/>
    <s v="Huitzilac "/>
    <s v="Cruz del Niño"/>
    <s v="Sur - Oriente "/>
    <n v="19"/>
    <n v="4"/>
    <n v="28.36"/>
    <n v="99"/>
    <n v="15"/>
    <n v="53.88"/>
    <s v="N 19° 04' 28.36'' W 99° 15' 53.88''"/>
    <n v="2934"/>
    <n v="0"/>
    <n v="0"/>
    <n v="7.34"/>
    <n v="0"/>
    <n v="4"/>
    <n v="0"/>
    <n v="11.34"/>
    <n v="1901.2799999999995"/>
    <n v="16.390344827586201"/>
    <s v="Fijo"/>
    <s v="CONAFOR"/>
    <x v="0"/>
    <x v="0"/>
    <s v="Comunal"/>
    <s v="Conservación "/>
    <d v="2019-04-16T15:05:00"/>
    <d v="2019-04-16T15:10:00"/>
    <d v="2019-04-16T15:15:00"/>
    <d v="2019-04-16T16:43:00"/>
    <d v="2019-04-16T16:55:00"/>
    <m/>
    <d v="2019-04-16T19:20:00"/>
    <d v="2019-04-16T20:40:00"/>
    <d v="2019-04-16T21:30:00"/>
    <d v="1899-12-30T05:35:00"/>
    <d v="1899-12-30T00:05:00"/>
    <d v="1899-12-30T01:33:00"/>
    <d v="1899-12-30T05:35:00"/>
    <n v="0.5"/>
    <n v="1.5"/>
    <n v="0"/>
    <n v="0"/>
    <n v="1.3"/>
    <n v="0"/>
    <n v="0.8"/>
    <n v="2.8"/>
    <n v="0"/>
    <s v="Rogelio Galeana Martinez"/>
    <n v="1"/>
    <n v="0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425"/>
    <n v="9"/>
    <n v="0"/>
    <n v="3447"/>
    <n v="0"/>
    <n v="3447"/>
    <n v="219.89"/>
    <n v="3666.89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7.34"/>
    <n v="0"/>
    <n v="4"/>
    <n v="0"/>
    <n v="11.34"/>
  </r>
  <r>
    <s v="19-17-0117"/>
    <n v="117"/>
    <d v="2019-04-16T00:00:00"/>
    <d v="2019-04-17T00:00:00"/>
    <s v="2 o más Días"/>
    <n v="21"/>
    <n v="1"/>
    <x v="13"/>
    <x v="4"/>
    <x v="3"/>
    <s v="Morelos "/>
    <n v="9"/>
    <x v="0"/>
    <s v="Huitzilac "/>
    <s v="El Puente"/>
    <s v="Norte "/>
    <n v="19"/>
    <n v="4"/>
    <n v="28.11"/>
    <n v="99"/>
    <n v="15"/>
    <n v="27"/>
    <s v="N 19° 04' 28.11'' W 99° 15' 27.00''"/>
    <n v="2850"/>
    <n v="0"/>
    <n v="0"/>
    <n v="3.41"/>
    <n v="3"/>
    <n v="2"/>
    <n v="0"/>
    <n v="8.41"/>
    <n v="1909.6899999999996"/>
    <n v="16.32213675213675"/>
    <s v="Fijo"/>
    <s v="CONAFOR"/>
    <x v="0"/>
    <x v="0"/>
    <s v="Comunal"/>
    <s v="Conservación "/>
    <d v="2019-04-16T15:40:00"/>
    <d v="2019-04-16T15:45:00"/>
    <d v="2019-04-16T15:50:00"/>
    <d v="2019-04-16T17:30:00"/>
    <d v="2019-04-16T17:40:00"/>
    <m/>
    <d v="2019-04-17T17:00:00"/>
    <d v="2019-04-17T18:00:00"/>
    <d v="2019-04-17T20:00:00"/>
    <d v="1899-12-31T02:20:00"/>
    <d v="1899-12-30T00:05:00"/>
    <d v="1899-12-30T01:45:00"/>
    <d v="1899-12-31T02:20:00"/>
    <n v="0.9"/>
    <n v="2.8"/>
    <n v="0"/>
    <n v="0"/>
    <n v="0.7"/>
    <n v="0"/>
    <n v="0.6"/>
    <n v="2.5"/>
    <n v="0"/>
    <s v="Florencio Pacheco Vargas "/>
    <n v="1"/>
    <n v="0"/>
    <n v="1"/>
    <n v="0"/>
    <n v="0"/>
    <n v="0"/>
    <n v="0"/>
    <n v="0"/>
    <s v="Brigada Contingencias "/>
    <n v="15"/>
    <n v="0"/>
    <n v="0"/>
    <n v="0"/>
    <n v="0"/>
    <n v="0"/>
    <n v="0"/>
    <n v="0"/>
    <n v="0"/>
    <n v="0"/>
    <n v="14"/>
    <n v="0"/>
    <n v="0"/>
    <n v="0"/>
    <n v="0"/>
    <n v="0"/>
    <n v="0"/>
    <n v="0"/>
    <n v="0"/>
    <n v="0"/>
    <n v="29"/>
    <n v="2454"/>
    <n v="29"/>
    <n v="0"/>
    <n v="5745"/>
    <n v="3038"/>
    <n v="8783"/>
    <n v="667.66"/>
    <n v="9450.66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3.41"/>
    <n v="3"/>
    <n v="2"/>
    <n v="0"/>
    <n v="8.41"/>
  </r>
  <r>
    <s v="19-17-0118"/>
    <n v="118"/>
    <d v="2019-04-17T00:00:00"/>
    <d v="2019-04-17T00:00:00"/>
    <s v="1 Día"/>
    <n v="22"/>
    <n v="1"/>
    <x v="13"/>
    <x v="0"/>
    <x v="3"/>
    <s v="Morelos "/>
    <n v="9"/>
    <x v="0"/>
    <s v="Huitzilac "/>
    <s v="El Zacatonal"/>
    <m/>
    <n v="19"/>
    <n v="2"/>
    <n v="0.2"/>
    <n v="99"/>
    <n v="16"/>
    <n v="54.4"/>
    <s v="N 19° 02' 00.20'' W 99° 16' 54.40''"/>
    <n v="2891"/>
    <n v="0"/>
    <n v="0"/>
    <n v="0.2"/>
    <n v="0"/>
    <n v="0.4"/>
    <n v="0"/>
    <n v="0.60000000000000009"/>
    <n v="1910.2899999999995"/>
    <n v="16.188898305084741"/>
    <s v="Fijo"/>
    <s v="CONAFOR"/>
    <x v="7"/>
    <x v="8"/>
    <s v="Comunal"/>
    <s v="Conservación "/>
    <d v="2019-04-17T08:20:00"/>
    <d v="2019-04-17T08:28:00"/>
    <d v="2019-04-17T08:30:00"/>
    <d v="2019-04-17T09:00:00"/>
    <d v="2019-04-17T10:00:00"/>
    <m/>
    <d v="2019-04-17T14:00:00"/>
    <d v="2019-04-17T15:00:00"/>
    <d v="2019-04-17T16:20:00"/>
    <d v="1899-12-30T06:40:00"/>
    <d v="1899-12-30T00:08:00"/>
    <d v="1899-12-30T00:32:00"/>
    <d v="1899-12-30T06:40:00"/>
    <n v="0"/>
    <n v="0.08"/>
    <n v="0"/>
    <n v="0"/>
    <n v="0.02"/>
    <n v="0"/>
    <n v="0"/>
    <n v="0.08"/>
    <n v="0"/>
    <s v="Teodoro Rea Martinez"/>
    <n v="0"/>
    <n v="0"/>
    <n v="0"/>
    <n v="1"/>
    <n v="0"/>
    <n v="0"/>
    <n v="0"/>
    <n v="0"/>
    <s v="CONANP"/>
    <n v="8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17"/>
    <n v="2471"/>
    <n v="17"/>
    <n v="0"/>
    <n v="3064"/>
    <n v="1953"/>
    <n v="5017"/>
    <n v="255.87"/>
    <n v="5272.87"/>
    <s v="Sin dato"/>
    <s v="Sin dato"/>
    <s v="Sin dato"/>
    <s v="Sin dato"/>
    <s v="Mixto"/>
    <s v="Minimo"/>
    <s v="Bosque de Pino "/>
    <s v="BP"/>
    <s v="Corredor Biológico Chichinautzin "/>
    <s v="No aplica "/>
    <s v="CBC"/>
    <n v="0"/>
    <n v="0"/>
    <n v="0.2"/>
    <n v="0"/>
    <n v="0.4"/>
    <n v="0"/>
    <n v="0.60000000000000009"/>
  </r>
  <r>
    <s v="19-17-0119"/>
    <n v="119"/>
    <d v="2019-04-17T00:00:00"/>
    <d v="2019-04-17T00:00:00"/>
    <s v="1 Día"/>
    <n v="23"/>
    <n v="1"/>
    <x v="13"/>
    <x v="0"/>
    <x v="3"/>
    <s v="Morelos "/>
    <n v="20"/>
    <x v="1"/>
    <s v="Santa Catarina "/>
    <s v="Cuacometla"/>
    <s v="Oriente "/>
    <n v="19"/>
    <n v="0"/>
    <n v="3.82"/>
    <n v="99"/>
    <n v="9"/>
    <n v="26.94"/>
    <s v="N 19° 00' 03.82'' W 99° 09' 26.94''"/>
    <n v="1919"/>
    <n v="0"/>
    <n v="0"/>
    <n v="1"/>
    <n v="1.18"/>
    <n v="0"/>
    <n v="0"/>
    <n v="2.1799999999999997"/>
    <n v="1912.4699999999996"/>
    <n v="16.071176470588231"/>
    <s v="Fijo"/>
    <s v="CONAFOR"/>
    <x v="3"/>
    <x v="4"/>
    <s v="Comunal"/>
    <s v="Conservación "/>
    <d v="2019-04-17T16:15:00"/>
    <d v="2019-04-17T16:18:00"/>
    <d v="2019-04-17T16:20:00"/>
    <d v="2019-04-17T16:50:00"/>
    <d v="2019-04-17T16:55:00"/>
    <m/>
    <d v="2019-04-17T20:00:00"/>
    <d v="2019-04-17T21:30:00"/>
    <d v="2019-04-17T22:30:00"/>
    <d v="1899-12-30T05:15:00"/>
    <d v="1899-12-30T00:03:00"/>
    <d v="1899-12-30T00:32:00"/>
    <d v="1899-12-30T05:15:00"/>
    <n v="0.06"/>
    <n v="0.3"/>
    <n v="0"/>
    <n v="0"/>
    <n v="0.04"/>
    <n v="0"/>
    <n v="0"/>
    <n v="0.6"/>
    <n v="0"/>
    <s v="Teodoro Rea Martinez"/>
    <n v="0"/>
    <n v="0"/>
    <n v="0"/>
    <n v="1"/>
    <n v="0"/>
    <n v="0"/>
    <n v="0"/>
    <n v="0"/>
    <s v="CONANP"/>
    <n v="9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18"/>
    <n v="2489"/>
    <n v="18"/>
    <n v="0"/>
    <n v="3447"/>
    <n v="1953"/>
    <n v="5400"/>
    <n v="337.83"/>
    <n v="5737.83"/>
    <s v="Sin dato"/>
    <s v="Sin dato"/>
    <s v="Sin dato"/>
    <s v="Sin dato"/>
    <s v="Superficial "/>
    <s v="Minimo"/>
    <s v="Bosque de Pino - Encino "/>
    <s v="BPQ"/>
    <s v="Parque Nacional El Tepozteco "/>
    <s v="No aplica "/>
    <s v="PNT"/>
    <n v="0"/>
    <n v="0"/>
    <n v="1"/>
    <n v="1.18"/>
    <n v="0"/>
    <n v="0"/>
    <n v="2.1799999999999997"/>
  </r>
  <r>
    <s v="19-17-0120"/>
    <n v="120"/>
    <d v="2019-04-20T00:00:00"/>
    <d v="2019-04-20T00:00:00"/>
    <s v="1 Día"/>
    <n v="24"/>
    <n v="1"/>
    <x v="14"/>
    <x v="3"/>
    <x v="3"/>
    <s v="Morelos "/>
    <n v="9"/>
    <x v="0"/>
    <s v="Huitzilac "/>
    <s v="Huertas de San Pedro"/>
    <s v="Sur "/>
    <n v="19"/>
    <n v="0"/>
    <n v="11.4"/>
    <n v="99"/>
    <n v="15"/>
    <n v="37.4"/>
    <s v="N 19° 00' 11.40'' W 99° 15' 37.40''"/>
    <n v="2166"/>
    <n v="0"/>
    <n v="0"/>
    <n v="0.4"/>
    <n v="0.5"/>
    <n v="0"/>
    <n v="0"/>
    <n v="0.9"/>
    <n v="1913.3699999999997"/>
    <n v="15.944749999999997"/>
    <s v="Fijo"/>
    <s v="CONAFOR"/>
    <x v="3"/>
    <x v="3"/>
    <s v="Comunal"/>
    <s v="Conservación "/>
    <d v="2019-04-20T17:20:00"/>
    <d v="2019-04-20T17:25:00"/>
    <d v="2019-04-20T17:30:00"/>
    <d v="2019-04-20T18:00:00"/>
    <d v="2019-04-20T18:10:00"/>
    <m/>
    <d v="2019-04-20T20:00:00"/>
    <d v="2019-04-20T20:30:00"/>
    <d v="2019-04-20T21:00:00"/>
    <d v="1899-12-30T03:10:00"/>
    <d v="1899-12-30T00:05:00"/>
    <d v="1899-12-30T00:35:00"/>
    <d v="1899-12-30T03:10:00"/>
    <n v="0"/>
    <n v="0.25"/>
    <n v="0"/>
    <n v="0"/>
    <n v="0.05"/>
    <n v="0"/>
    <n v="0"/>
    <n v="0"/>
    <n v="0"/>
    <s v="Margarito Rodriguez Rodriguez "/>
    <n v="0"/>
    <n v="0"/>
    <n v="1"/>
    <n v="0"/>
    <n v="0"/>
    <n v="0"/>
    <n v="0"/>
    <n v="0"/>
    <s v="Pc. Municipal"/>
    <n v="9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13"/>
    <n v="2502"/>
    <n v="13"/>
    <n v="0"/>
    <n v="3447"/>
    <n v="868"/>
    <n v="4315"/>
    <n v="114"/>
    <n v="4429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0.4"/>
    <n v="0.5"/>
    <n v="0"/>
    <n v="0"/>
    <n v="0.9"/>
  </r>
  <r>
    <s v="19-17-0121"/>
    <n v="121"/>
    <d v="2019-04-20T00:00:00"/>
    <d v="2019-04-20T00:00:00"/>
    <s v="1 Día"/>
    <n v="25"/>
    <n v="1"/>
    <x v="14"/>
    <x v="3"/>
    <x v="3"/>
    <s v="Morelos "/>
    <n v="30"/>
    <x v="11"/>
    <s v="Yecapixtla"/>
    <s v="Cerro Yoteco"/>
    <m/>
    <n v="18"/>
    <n v="55"/>
    <n v="22.81"/>
    <n v="98"/>
    <n v="49"/>
    <n v="50.85"/>
    <s v="N 18° 55' 22.81'' W 98° 49' 50.85''"/>
    <n v="2049"/>
    <n v="0"/>
    <n v="0"/>
    <n v="1.5"/>
    <n v="0.71"/>
    <n v="0"/>
    <n v="0"/>
    <n v="2.21"/>
    <n v="1915.5799999999997"/>
    <n v="15.831239669421485"/>
    <s v="Fijo"/>
    <s v="CONAFOR"/>
    <x v="3"/>
    <x v="4"/>
    <s v="Comunal"/>
    <s v="Conservación "/>
    <d v="2019-04-20T16:49:00"/>
    <d v="2019-04-20T16:50:00"/>
    <d v="2019-04-20T18:00:00"/>
    <d v="2019-04-20T19:40:00"/>
    <d v="2019-04-20T19:50:00"/>
    <m/>
    <d v="2019-04-20T22:00:00"/>
    <d v="2019-04-20T23:00:00"/>
    <d v="2019-04-21T00:30:00"/>
    <d v="1899-12-30T06:11:00"/>
    <d v="1899-12-30T00:01:00"/>
    <d v="1899-12-30T02:50:00"/>
    <d v="1899-12-30T06:11:00"/>
    <n v="0.5"/>
    <n v="0"/>
    <n v="0"/>
    <n v="0"/>
    <n v="0.4"/>
    <n v="0"/>
    <n v="0"/>
    <n v="1"/>
    <n v="0"/>
    <s v="Teodoro Rea Martinez"/>
    <n v="1"/>
    <n v="0"/>
    <n v="0"/>
    <n v="1"/>
    <n v="1"/>
    <n v="0"/>
    <n v="0"/>
    <n v="0"/>
    <s v="PC Yecapixtla"/>
    <n v="8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9"/>
    <n v="2511"/>
    <n v="9"/>
    <n v="0"/>
    <n v="3064"/>
    <n v="217"/>
    <n v="3281"/>
    <n v="866.23"/>
    <n v="4147.2299999999996"/>
    <s v="Sin dato"/>
    <s v="Sin dato"/>
    <s v="Sin dato"/>
    <s v="Sin dato"/>
    <s v="Superficial "/>
    <s v="Minimo"/>
    <s v="Bosque de Encino"/>
    <s v="BQ"/>
    <s v="Fuera ANP"/>
    <s v="No aplica "/>
    <s v="FANP"/>
    <n v="0"/>
    <n v="0"/>
    <n v="0"/>
    <n v="0"/>
    <n v="0"/>
    <n v="0"/>
    <n v="0"/>
  </r>
  <r>
    <s v="19-17-0122"/>
    <n v="122"/>
    <d v="2019-04-21T00:00:00"/>
    <d v="2019-04-21T00:00:00"/>
    <s v="1 Día"/>
    <n v="26"/>
    <n v="1"/>
    <x v="14"/>
    <x v="5"/>
    <x v="3"/>
    <s v="Morelos "/>
    <n v="7"/>
    <x v="5"/>
    <s v="Ahuatepec "/>
    <s v="km 75 de la  Autopista Mexico - Cuernavaca "/>
    <s v="Sur "/>
    <n v="18"/>
    <n v="59"/>
    <n v="9.1999999999999993"/>
    <n v="99"/>
    <n v="12"/>
    <n v="29.5"/>
    <s v="N 18° 59' 09.20'' W 99° 12' 29.50''"/>
    <n v="1935"/>
    <n v="0"/>
    <n v="0"/>
    <n v="0"/>
    <n v="0.6"/>
    <n v="0"/>
    <n v="0"/>
    <n v="0.6"/>
    <n v="1916.1799999999996"/>
    <n v="15.706393442622948"/>
    <s v="Fijo"/>
    <s v="CONAFOR"/>
    <x v="3"/>
    <x v="3"/>
    <s v="Comunal"/>
    <s v="Conservación "/>
    <d v="2019-04-21T09:30:00"/>
    <d v="2019-04-21T09:35:00"/>
    <d v="2019-04-21T09:40:00"/>
    <d v="2019-04-21T10:00:00"/>
    <d v="2019-04-21T10:10:00"/>
    <m/>
    <d v="2019-04-21T11:00:00"/>
    <d v="2019-04-21T11:15:00"/>
    <d v="2019-04-21T11:35:00"/>
    <d v="1899-12-30T01:45:00"/>
    <d v="1899-12-30T00:05:00"/>
    <d v="1899-12-30T00:25:00"/>
    <d v="1899-12-30T01:45:00"/>
    <n v="0"/>
    <n v="0.3"/>
    <n v="0"/>
    <n v="0"/>
    <n v="0.1"/>
    <n v="0"/>
    <n v="0"/>
    <n v="0"/>
    <n v="0"/>
    <s v="Margarito Rodriguez Rodriguez "/>
    <n v="0"/>
    <n v="0"/>
    <n v="1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520"/>
    <n v="9"/>
    <n v="0"/>
    <n v="3447"/>
    <n v="0"/>
    <n v="3447"/>
    <n v="93.28"/>
    <n v="3540.28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0"/>
    <n v="0.6"/>
    <n v="0"/>
    <n v="0"/>
    <n v="0.6"/>
  </r>
  <r>
    <s v="19-17-0123"/>
    <n v="123"/>
    <d v="2019-04-22T00:00:00"/>
    <d v="2019-04-22T00:00:00"/>
    <s v="1 Día"/>
    <n v="27"/>
    <n v="1"/>
    <x v="14"/>
    <x v="6"/>
    <x v="3"/>
    <s v="Morelos "/>
    <n v="7"/>
    <x v="5"/>
    <s v="Ahuatepec "/>
    <s v="km 75+400 de la Autopista Mexico -  Cuernavaca "/>
    <s v="Sur"/>
    <n v="18"/>
    <n v="59"/>
    <n v="14.83"/>
    <n v="99"/>
    <n v="12"/>
    <n v="24.69"/>
    <s v="N 18° 59' 14.83'' W 99° 12' 24.69''"/>
    <n v="1947"/>
    <n v="0"/>
    <n v="0"/>
    <n v="0"/>
    <n v="0.7"/>
    <n v="0"/>
    <n v="0"/>
    <n v="0.7"/>
    <n v="1916.8799999999997"/>
    <n v="15.584390243902437"/>
    <s v="Fijo"/>
    <s v="CONAFOR"/>
    <x v="3"/>
    <x v="4"/>
    <s v="Comunal"/>
    <s v="Conservación "/>
    <d v="2019-04-22T09:00:00"/>
    <d v="2019-04-22T09:10:00"/>
    <d v="2019-04-22T09:15:00"/>
    <d v="2019-04-22T09:30:00"/>
    <d v="2019-04-22T09:35:00"/>
    <m/>
    <d v="2019-04-22T10:30:00"/>
    <d v="2019-04-22T10:45:00"/>
    <d v="2019-04-22T11:20:00"/>
    <d v="1899-12-30T01:45:00"/>
    <d v="1899-12-30T00:10:00"/>
    <d v="1899-12-30T00:20:00"/>
    <d v="1899-12-30T01:45:00"/>
    <n v="0.08"/>
    <n v="0.4"/>
    <n v="0"/>
    <n v="0"/>
    <n v="0"/>
    <n v="0"/>
    <n v="0.1"/>
    <n v="0.3"/>
    <n v="0"/>
    <s v="Rogelio Galeana Martinez"/>
    <n v="1"/>
    <n v="0"/>
    <n v="0"/>
    <n v="0"/>
    <n v="0"/>
    <n v="0"/>
    <n v="0"/>
    <n v="0"/>
    <s v="Voluntarios"/>
    <n v="8"/>
    <n v="0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16"/>
    <n v="2536"/>
    <n v="8"/>
    <n v="8"/>
    <n v="3064"/>
    <n v="1736"/>
    <n v="4800"/>
    <n v="93.28"/>
    <n v="4893.28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0"/>
    <n v="0.7"/>
    <n v="0"/>
    <n v="0"/>
    <n v="0.7"/>
  </r>
  <r>
    <s v="19-17-0124"/>
    <n v="124"/>
    <d v="2019-04-22T00:00:00"/>
    <d v="2019-04-22T00:00:00"/>
    <s v="1 Día"/>
    <n v="28"/>
    <n v="1"/>
    <x v="14"/>
    <x v="6"/>
    <x v="3"/>
    <s v="Morelos "/>
    <n v="9"/>
    <x v="0"/>
    <s v="Huitzilac "/>
    <s v="La Ahuacatera"/>
    <m/>
    <n v="19"/>
    <n v="0"/>
    <n v="14.2"/>
    <n v="99"/>
    <n v="15"/>
    <n v="42"/>
    <s v="N 19° 00' 14.20'' W 99° 15' 42.00''"/>
    <n v="2213"/>
    <n v="0"/>
    <n v="0"/>
    <n v="0.5"/>
    <n v="0.3"/>
    <n v="0"/>
    <n v="0"/>
    <n v="0.8"/>
    <n v="1917.6799999999996"/>
    <n v="15.465161290322577"/>
    <s v="Fijo"/>
    <s v="CONAFOR"/>
    <x v="1"/>
    <x v="1"/>
    <s v="Comunal"/>
    <s v="Conservación "/>
    <d v="2019-04-22T09:55:00"/>
    <d v="2019-04-22T10:00:00"/>
    <d v="2019-04-22T10:06:00"/>
    <d v="2019-04-22T10:51:00"/>
    <d v="2019-04-22T11:00:00"/>
    <m/>
    <d v="2019-04-22T15:10:00"/>
    <d v="2019-04-22T15:43:00"/>
    <d v="2019-04-22T16:30:00"/>
    <d v="1899-12-30T05:48:00"/>
    <d v="1899-12-30T00:05:00"/>
    <d v="1899-12-30T00:51:00"/>
    <d v="1899-12-30T05:48:00"/>
    <n v="0.3"/>
    <n v="0.3"/>
    <n v="0"/>
    <n v="0"/>
    <n v="0"/>
    <n v="0"/>
    <n v="0"/>
    <n v="0"/>
    <n v="0"/>
    <s v="Margarito Galeana Moreno"/>
    <n v="0"/>
    <n v="0"/>
    <n v="0"/>
    <n v="0"/>
    <n v="0"/>
    <n v="0"/>
    <n v="0"/>
    <n v="0"/>
    <s v="F16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10"/>
    <n v="2546"/>
    <n v="10"/>
    <n v="0"/>
    <n v="0"/>
    <n v="2170"/>
    <n v="2170"/>
    <n v="325.17"/>
    <n v="2495.17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0.5"/>
    <n v="0.3"/>
    <n v="0"/>
    <n v="0"/>
    <n v="0.8"/>
  </r>
  <r>
    <s v="19-17-0125"/>
    <n v="125"/>
    <d v="2019-04-24T00:00:00"/>
    <d v="2019-04-24T00:00:00"/>
    <s v="1 Día"/>
    <n v="29"/>
    <n v="1"/>
    <x v="14"/>
    <x v="0"/>
    <x v="3"/>
    <s v="Morelos "/>
    <n v="7"/>
    <x v="5"/>
    <s v="Ahuatepec "/>
    <s v="El Silvato"/>
    <m/>
    <n v="18"/>
    <n v="59"/>
    <n v="13"/>
    <n v="99"/>
    <n v="12"/>
    <n v="6.9"/>
    <s v="N 18° 59' 13.00'' W 99° 12' 06.90''"/>
    <n v="1913"/>
    <n v="0"/>
    <n v="0"/>
    <n v="0.4"/>
    <n v="0.4"/>
    <n v="0"/>
    <n v="0"/>
    <n v="0.8"/>
    <n v="1918.4799999999996"/>
    <n v="15.347839999999996"/>
    <s v="Fijo"/>
    <s v="CONAFOR"/>
    <x v="1"/>
    <x v="1"/>
    <s v="Comunal"/>
    <s v="Conservación "/>
    <d v="2019-04-24T12:55:00"/>
    <d v="2019-04-24T13:00:00"/>
    <d v="2019-04-24T13:05:00"/>
    <d v="2019-04-24T13:40:00"/>
    <d v="2019-04-24T13:50:00"/>
    <m/>
    <d v="2019-04-24T15:00:00"/>
    <d v="2019-04-24T15:40:00"/>
    <d v="2019-04-24T17:20:00"/>
    <d v="1899-12-30T02:45:00"/>
    <d v="1899-12-30T00:05:00"/>
    <d v="1899-12-30T00:40:00"/>
    <d v="1899-12-30T02:45:00"/>
    <n v="0.1"/>
    <n v="0.6"/>
    <n v="0"/>
    <n v="0"/>
    <n v="0"/>
    <n v="0"/>
    <n v="0"/>
    <n v="0"/>
    <n v="0"/>
    <s v="Rogelio Galeana Martinez"/>
    <n v="1"/>
    <n v="0"/>
    <n v="0"/>
    <n v="0"/>
    <n v="0"/>
    <n v="0"/>
    <n v="0"/>
    <n v="0"/>
    <s v="Voluntarios"/>
    <n v="9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12"/>
    <n v="2558"/>
    <n v="9"/>
    <n v="3"/>
    <n v="3447"/>
    <n v="651"/>
    <n v="4098"/>
    <n v="133"/>
    <n v="4231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0.4"/>
    <n v="0.4"/>
    <n v="0"/>
    <n v="0"/>
    <n v="0.8"/>
  </r>
  <r>
    <s v="19-17-0126"/>
    <n v="126"/>
    <d v="2019-04-25T00:00:00"/>
    <d v="2019-04-25T00:00:00"/>
    <s v="1 Día"/>
    <n v="30"/>
    <n v="1"/>
    <x v="14"/>
    <x v="2"/>
    <x v="3"/>
    <s v="Morelos "/>
    <n v="9"/>
    <x v="0"/>
    <s v="Huitzilac "/>
    <s v="Sierra Encantada"/>
    <m/>
    <n v="19"/>
    <n v="0"/>
    <n v="29"/>
    <n v="99"/>
    <n v="13"/>
    <n v="18.899999999999999"/>
    <s v="N 19° 00' 29.00'' W 99° 13' 18.90''"/>
    <n v="2321"/>
    <n v="0"/>
    <n v="0"/>
    <n v="0.5"/>
    <n v="0.4"/>
    <n v="0"/>
    <n v="0"/>
    <n v="0.9"/>
    <n v="1919.3799999999997"/>
    <n v="15.2331746031746"/>
    <s v="Fijo"/>
    <s v="CONAFOR"/>
    <x v="3"/>
    <x v="3"/>
    <s v="Comunal"/>
    <s v="Conservación "/>
    <d v="2019-04-25T12:50:00"/>
    <d v="2019-04-25T12:55:00"/>
    <d v="2019-04-25T13:00:00"/>
    <d v="2019-04-25T13:50:00"/>
    <d v="2019-04-25T13:55:00"/>
    <m/>
    <d v="2019-04-25T15:00:00"/>
    <d v="2019-04-25T16:00:00"/>
    <d v="2019-04-25T17:00:00"/>
    <d v="1899-12-30T03:10:00"/>
    <d v="1899-12-30T00:05:00"/>
    <d v="1899-12-30T00:55:00"/>
    <d v="1899-12-30T03:10:00"/>
    <n v="0.2"/>
    <n v="0.3"/>
    <n v="0"/>
    <n v="0"/>
    <n v="0"/>
    <n v="0"/>
    <n v="0.1"/>
    <n v="0.7"/>
    <n v="0"/>
    <s v="Federico Galeana Simeon"/>
    <n v="0"/>
    <n v="1"/>
    <n v="0"/>
    <n v="0"/>
    <n v="0"/>
    <n v="0"/>
    <n v="0"/>
    <n v="0"/>
    <m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567"/>
    <n v="9"/>
    <n v="0"/>
    <n v="3447"/>
    <n v="0"/>
    <n v="3447"/>
    <n v="153.25"/>
    <n v="3600.25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0.5"/>
    <n v="0.4"/>
    <n v="0"/>
    <n v="0"/>
    <n v="0.9"/>
  </r>
  <r>
    <s v="19-17-0127"/>
    <n v="127"/>
    <d v="2019-04-26T00:00:00"/>
    <d v="2019-04-26T00:00:00"/>
    <s v="1 Día"/>
    <n v="31"/>
    <n v="1"/>
    <x v="15"/>
    <x v="1"/>
    <x v="3"/>
    <s v="Morelos "/>
    <n v="20"/>
    <x v="1"/>
    <s v="Santa Catarina "/>
    <s v="km 9 de la Carretera Federal Cuernavaca - Tepoztlán"/>
    <m/>
    <n v="18"/>
    <n v="58"/>
    <n v="50.41"/>
    <n v="99"/>
    <n v="10"/>
    <n v="5.66"/>
    <s v="N 18° 58' 50.41'' W 99° 10' 05.66''"/>
    <n v="1723"/>
    <n v="0"/>
    <n v="0"/>
    <n v="1.53"/>
    <n v="3"/>
    <n v="0"/>
    <n v="0"/>
    <n v="4.53"/>
    <n v="1923.9099999999996"/>
    <n v="15.148897637795272"/>
    <s v="Fijo"/>
    <s v="CONAFOR"/>
    <x v="3"/>
    <x v="4"/>
    <s v="Comunal"/>
    <s v="Conservación "/>
    <d v="2019-04-26T14:30:00"/>
    <d v="2019-04-26T14:35:00"/>
    <d v="2019-04-26T14:40:00"/>
    <d v="2019-04-26T15:00:00"/>
    <d v="2019-04-26T15:05:00"/>
    <d v="2019-04-26T16:40:00"/>
    <d v="2019-04-26T19:00:00"/>
    <d v="2019-04-26T20:00:00"/>
    <d v="2019-04-26T21:30:00"/>
    <d v="1899-12-30T05:30:00"/>
    <d v="1899-12-30T00:05:00"/>
    <d v="1899-12-30T00:25:00"/>
    <d v="1899-12-30T05:30:00"/>
    <n v="0.8"/>
    <n v="0.6"/>
    <n v="0"/>
    <n v="0"/>
    <n v="0.3"/>
    <n v="0"/>
    <n v="0"/>
    <n v="1"/>
    <n v="0"/>
    <s v="Benjamin Gonzalez Villegas "/>
    <n v="0"/>
    <n v="0"/>
    <n v="0"/>
    <n v="0"/>
    <n v="0"/>
    <n v="0"/>
    <n v="0"/>
    <n v="0"/>
    <s v="F16, F17, Camaleon"/>
    <n v="0"/>
    <n v="0"/>
    <n v="0"/>
    <n v="0"/>
    <n v="0"/>
    <n v="10"/>
    <n v="0"/>
    <n v="0"/>
    <n v="0"/>
    <n v="0"/>
    <n v="22"/>
    <n v="0"/>
    <n v="0"/>
    <n v="0"/>
    <n v="0"/>
    <n v="0"/>
    <n v="0"/>
    <n v="0"/>
    <n v="0"/>
    <n v="0"/>
    <n v="32"/>
    <n v="2599"/>
    <n v="32"/>
    <n v="0"/>
    <n v="0"/>
    <n v="6944"/>
    <n v="6944"/>
    <n v="323"/>
    <n v="7267"/>
    <s v="Sin dato"/>
    <s v="Sin dato"/>
    <s v="Sin dato"/>
    <s v="Sin dato"/>
    <s v="Superficial "/>
    <s v="Minimo"/>
    <s v="Selva Baja Caducifolia "/>
    <s v="SBC"/>
    <s v="Parque Nacional El Tepozteco "/>
    <s v="No aplica "/>
    <s v="PNT"/>
    <n v="0"/>
    <n v="0"/>
    <n v="1.53"/>
    <n v="3"/>
    <n v="0"/>
    <n v="0"/>
    <n v="4.53"/>
  </r>
  <r>
    <s v="19-17-0128"/>
    <n v="128"/>
    <d v="2019-04-26T00:00:00"/>
    <d v="2019-04-28T00:00:00"/>
    <s v="2 o más Días"/>
    <n v="32"/>
    <n v="1"/>
    <x v="15"/>
    <x v="1"/>
    <x v="3"/>
    <s v="Morelos "/>
    <n v="9"/>
    <x v="0"/>
    <s v="Coajomulco, San Juan Tlacotenco"/>
    <s v="Chichinautzin "/>
    <m/>
    <n v="19"/>
    <n v="5"/>
    <n v="19.61"/>
    <n v="99"/>
    <n v="8"/>
    <n v="6.68"/>
    <s v="N 19° 05' 19.61'' W 99° 08' 06.68''"/>
    <n v="3461"/>
    <n v="0"/>
    <n v="0"/>
    <n v="3"/>
    <n v="2.09"/>
    <n v="0"/>
    <n v="0"/>
    <n v="5.09"/>
    <n v="1928.9999999999995"/>
    <n v="15.070312499999996"/>
    <s v="Fijo"/>
    <s v="CONAFOR"/>
    <x v="1"/>
    <x v="1"/>
    <s v="Comunal"/>
    <s v="Predio Pago por Servicios Ambientales "/>
    <d v="2019-04-26T11:45:00"/>
    <d v="2019-04-26T11:50:00"/>
    <d v="2019-04-26T12:00:00"/>
    <d v="2019-04-26T13:30:00"/>
    <d v="2019-04-26T13:30:00"/>
    <d v="2019-04-27T09:20:00"/>
    <d v="2019-04-28T13:20:00"/>
    <d v="2019-04-28T16:00:00"/>
    <d v="2019-04-28T20:00:00"/>
    <d v="1900-01-01T04:15:00"/>
    <d v="1899-12-30T00:05:00"/>
    <d v="1899-12-30T01:40:00"/>
    <d v="1900-01-01T04:15:00"/>
    <n v="0.6"/>
    <n v="2.8"/>
    <n v="0"/>
    <n v="0"/>
    <n v="1"/>
    <n v="0"/>
    <n v="0"/>
    <n v="3"/>
    <n v="0"/>
    <s v="Rogelio Galeana Martinez"/>
    <n v="1"/>
    <n v="0"/>
    <n v="1"/>
    <n v="0"/>
    <n v="0"/>
    <n v="0"/>
    <n v="0"/>
    <n v="0"/>
    <s v="Brigada 1, 2, 3, Pino 02, CONANP, R. Jilgueros, San Juan "/>
    <n v="66"/>
    <n v="0"/>
    <n v="10"/>
    <n v="10"/>
    <n v="0"/>
    <n v="17"/>
    <n v="0"/>
    <n v="0"/>
    <n v="0"/>
    <n v="0"/>
    <n v="12"/>
    <n v="0"/>
    <n v="0"/>
    <n v="0"/>
    <n v="0"/>
    <n v="0"/>
    <n v="0"/>
    <n v="0"/>
    <n v="0"/>
    <n v="0"/>
    <n v="115"/>
    <n v="2714"/>
    <n v="115"/>
    <n v="0"/>
    <n v="25278"/>
    <n v="10633"/>
    <n v="35911"/>
    <n v="2508"/>
    <n v="38419"/>
    <n v="17"/>
    <n v="2"/>
    <n v="40"/>
    <s v="Sur  - Norte"/>
    <s v="Superficial "/>
    <s v="Minimo"/>
    <s v="Bosque de Oyamel"/>
    <s v="BA"/>
    <s v="Parque Nacional El Tepozteco "/>
    <s v="Corredor Biológico Chichinautzin "/>
    <s v="PNT - CBC"/>
    <n v="0"/>
    <n v="0"/>
    <n v="3"/>
    <n v="2"/>
    <n v="0"/>
    <n v="0"/>
    <n v="5"/>
  </r>
  <r>
    <s v="19-17-0129"/>
    <n v="129"/>
    <d v="2019-04-27T00:00:00"/>
    <d v="2019-04-27T00:00:00"/>
    <s v="1 Día"/>
    <n v="33"/>
    <n v="1"/>
    <x v="15"/>
    <x v="3"/>
    <x v="3"/>
    <s v="Morelos "/>
    <n v="20"/>
    <x v="1"/>
    <s v="Santa Catarina "/>
    <s v="Ixotitla"/>
    <m/>
    <n v="18"/>
    <n v="59"/>
    <n v="30.9"/>
    <n v="99"/>
    <n v="9"/>
    <n v="56.97"/>
    <s v="N 18° 59' 30.90'' W 99° 09' 56.97''"/>
    <n v="1840"/>
    <n v="0"/>
    <n v="0"/>
    <n v="0.7"/>
    <n v="0"/>
    <n v="0.51"/>
    <n v="0"/>
    <n v="1.21"/>
    <n v="1930.2099999999996"/>
    <n v="14.962868217054261"/>
    <s v="Fijo"/>
    <s v="CONAFOR"/>
    <x v="2"/>
    <x v="2"/>
    <s v="Comunal"/>
    <s v="Conservación "/>
    <d v="2019-04-27T16:13:00"/>
    <d v="2019-04-27T16:15:00"/>
    <d v="2019-04-27T16:17:00"/>
    <d v="2019-04-27T17:15:00"/>
    <d v="2019-04-27T17:40:00"/>
    <m/>
    <d v="2019-04-27T19:00:00"/>
    <d v="2019-04-27T20:00:00"/>
    <d v="2019-04-27T21:30:00"/>
    <d v="1899-12-30T03:47:00"/>
    <d v="1899-12-30T00:02:00"/>
    <d v="1899-12-30T01:00:00"/>
    <d v="1899-12-30T03:47:00"/>
    <n v="0.05"/>
    <n v="0.3"/>
    <n v="0"/>
    <n v="0"/>
    <n v="0.1"/>
    <n v="0"/>
    <n v="0.08"/>
    <n v="0.5"/>
    <n v="0"/>
    <s v="Teodoro Rea Martinez"/>
    <n v="0"/>
    <n v="0"/>
    <n v="0"/>
    <n v="1"/>
    <n v="0"/>
    <n v="0"/>
    <n v="0"/>
    <n v="0"/>
    <m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722"/>
    <n v="8"/>
    <n v="0"/>
    <n v="3064"/>
    <n v="0"/>
    <n v="3064"/>
    <n v="399"/>
    <n v="3463"/>
    <s v="Sin dato"/>
    <s v="Sin dato"/>
    <s v="Sin dato"/>
    <s v="Sin dato"/>
    <s v="Superficial "/>
    <s v="Minimo"/>
    <s v="Bosque de Encino - Pino"/>
    <s v="BQP"/>
    <s v="Parque Nacional El Tepozteco "/>
    <s v="No aplica "/>
    <s v="PNT"/>
    <n v="0"/>
    <n v="0"/>
    <n v="0.7"/>
    <n v="0"/>
    <n v="0.51"/>
    <n v="0"/>
    <n v="1.21"/>
  </r>
  <r>
    <s v="19-17-0130"/>
    <n v="130"/>
    <d v="2019-04-30T00:00:00"/>
    <d v="2019-04-30T00:00:00"/>
    <s v="1 Día"/>
    <n v="34"/>
    <n v="1"/>
    <x v="15"/>
    <x v="4"/>
    <x v="3"/>
    <s v="Morelos "/>
    <n v="23"/>
    <x v="2"/>
    <s v="Tlalnepantla"/>
    <s v="Puente de Palo"/>
    <m/>
    <n v="19"/>
    <n v="3"/>
    <n v="32.630000000000003"/>
    <n v="99"/>
    <n v="1"/>
    <n v="36.36"/>
    <s v="N 19° 03' 32.63'' W 99° 01' 36.36''"/>
    <n v="3108"/>
    <n v="0"/>
    <n v="0"/>
    <n v="30.65"/>
    <n v="61"/>
    <n v="0"/>
    <n v="0"/>
    <n v="91.65"/>
    <n v="2021.8599999999997"/>
    <n v="15.552769230769229"/>
    <s v="Movil"/>
    <s v="Brigada CONANP"/>
    <x v="1"/>
    <x v="1"/>
    <s v="Comunal"/>
    <s v="Predio Pago por Servicios Ambientales "/>
    <d v="2019-04-30T07:45:00"/>
    <d v="2019-04-30T07:50:00"/>
    <d v="2019-04-30T08:00:00"/>
    <d v="2019-04-30T08:30:00"/>
    <d v="2019-04-30T08:35:00"/>
    <m/>
    <d v="2019-04-30T13:25:00"/>
    <d v="2019-04-30T18:00:00"/>
    <d v="2019-04-30T18:50:00"/>
    <d v="1899-12-30T10:15:00"/>
    <d v="1899-12-30T00:05:00"/>
    <d v="1899-12-30T00:40:00"/>
    <d v="1899-12-30T10:15:00"/>
    <n v="3"/>
    <n v="2"/>
    <n v="0"/>
    <n v="0"/>
    <n v="2"/>
    <n v="0"/>
    <n v="0"/>
    <n v="5"/>
    <n v="0"/>
    <s v="Pedro Riegos Avila"/>
    <n v="0"/>
    <n v="0"/>
    <n v="0"/>
    <n v="0"/>
    <n v="0"/>
    <n v="0"/>
    <n v="0"/>
    <n v="0"/>
    <s v="R. Tlalnepantla, Brigada CONANP"/>
    <n v="0"/>
    <n v="0"/>
    <n v="10"/>
    <n v="0"/>
    <n v="0"/>
    <n v="10"/>
    <n v="0"/>
    <n v="0"/>
    <n v="0"/>
    <n v="0"/>
    <n v="0"/>
    <n v="0"/>
    <n v="0"/>
    <n v="0"/>
    <n v="0"/>
    <n v="0"/>
    <n v="0"/>
    <n v="0"/>
    <n v="0"/>
    <n v="0"/>
    <n v="20"/>
    <n v="2742"/>
    <n v="20"/>
    <n v="0"/>
    <n v="0"/>
    <n v="4340"/>
    <n v="4340"/>
    <n v="50.64"/>
    <n v="4390.6400000000003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30.65"/>
    <n v="61"/>
    <n v="0"/>
    <n v="0"/>
    <n v="91.65"/>
  </r>
  <r>
    <s v="19-17-0131"/>
    <n v="131"/>
    <d v="2019-04-30T00:00:00"/>
    <d v="2019-04-30T00:00:00"/>
    <s v="1 Día"/>
    <n v="35"/>
    <n v="1"/>
    <x v="15"/>
    <x v="4"/>
    <x v="3"/>
    <s v="Morelos "/>
    <n v="22"/>
    <x v="12"/>
    <s v="Tetela del volcan"/>
    <s v="Comaselo"/>
    <m/>
    <n v="18"/>
    <n v="56"/>
    <n v="10.4"/>
    <n v="98"/>
    <n v="44"/>
    <n v="4.2"/>
    <s v="N 18° 56' 10.40'' W 98° 44' 04.20''"/>
    <n v="2624"/>
    <n v="0"/>
    <n v="0"/>
    <n v="0.5"/>
    <n v="0.4"/>
    <n v="0"/>
    <n v="0"/>
    <n v="0.9"/>
    <n v="2022.7599999999998"/>
    <n v="15.44091603053435"/>
    <s v="Movil"/>
    <s v="Brigada F18"/>
    <x v="3"/>
    <x v="4"/>
    <s v="Ejidal"/>
    <s v="Conservación "/>
    <d v="2019-04-30T13:50:00"/>
    <d v="2019-04-30T13:55:00"/>
    <d v="2019-04-30T14:05:00"/>
    <d v="2019-04-30T14:30:00"/>
    <d v="2019-04-30T14:35:00"/>
    <m/>
    <d v="2019-04-30T16:30:00"/>
    <d v="2019-04-30T17:15:00"/>
    <d v="2019-04-30T17:50:00"/>
    <d v="1899-12-30T03:25:00"/>
    <d v="1899-12-30T00:05:00"/>
    <d v="1899-12-30T00:35:00"/>
    <d v="1899-12-30T03:25:00"/>
    <n v="0.2"/>
    <n v="0.4"/>
    <n v="0"/>
    <n v="0"/>
    <n v="0"/>
    <n v="0"/>
    <n v="0"/>
    <n v="0.8"/>
    <n v="0"/>
    <s v="Alvaro Perez Martinez"/>
    <n v="0"/>
    <n v="0"/>
    <n v="0"/>
    <n v="0"/>
    <n v="0"/>
    <n v="0"/>
    <n v="0"/>
    <n v="0"/>
    <s v="Brigada F 18"/>
    <n v="0"/>
    <n v="0"/>
    <n v="0"/>
    <n v="0"/>
    <n v="0"/>
    <n v="0"/>
    <n v="0"/>
    <n v="0"/>
    <n v="0"/>
    <n v="0"/>
    <n v="9"/>
    <n v="0"/>
    <n v="0"/>
    <n v="0"/>
    <n v="7"/>
    <n v="0"/>
    <n v="0"/>
    <n v="0"/>
    <n v="0"/>
    <n v="0"/>
    <n v="16"/>
    <n v="2758"/>
    <n v="9"/>
    <n v="7"/>
    <n v="0"/>
    <n v="3472"/>
    <n v="3472"/>
    <n v="107.94"/>
    <n v="3579.94"/>
    <s v="Sin dato"/>
    <s v="Sin dato"/>
    <s v="Sin dato"/>
    <s v="Sin dato"/>
    <s v="Superficial "/>
    <s v="Minimo"/>
    <s v="Bosque de Pino "/>
    <s v="BP"/>
    <s v="Fuera ANP"/>
    <s v="No aplica "/>
    <s v="FANP"/>
    <n v="0"/>
    <n v="0"/>
    <n v="0"/>
    <n v="0"/>
    <n v="0"/>
    <n v="0"/>
    <n v="0"/>
  </r>
  <r>
    <s v="19-17-0132"/>
    <n v="132"/>
    <d v="2019-05-01T00:00:00"/>
    <d v="2019-05-01T00:00:00"/>
    <s v="1 Día"/>
    <n v="1"/>
    <n v="1"/>
    <x v="15"/>
    <x v="0"/>
    <x v="4"/>
    <s v="Morelos "/>
    <n v="9"/>
    <x v="0"/>
    <s v="Coajomulco"/>
    <s v="Wuitecocan"/>
    <m/>
    <n v="19"/>
    <n v="3"/>
    <n v="32.85"/>
    <n v="99"/>
    <n v="11"/>
    <n v="15.67"/>
    <s v="N 19° 03' 32.85'' W 99° 11' 15.67''"/>
    <n v="2879"/>
    <n v="0"/>
    <n v="0"/>
    <n v="2.67"/>
    <n v="3"/>
    <n v="0"/>
    <n v="0"/>
    <n v="5.67"/>
    <n v="2028.4299999999998"/>
    <n v="15.366893939393938"/>
    <s v="Fijo"/>
    <s v="CONAFOR"/>
    <x v="0"/>
    <x v="0"/>
    <s v="Comunal"/>
    <s v="Conservación "/>
    <d v="2019-05-01T15:20:00"/>
    <d v="2019-05-01T15:25:00"/>
    <d v="2019-05-01T15:30:00"/>
    <d v="2019-05-01T17:00:00"/>
    <d v="2019-05-01T17:10:00"/>
    <m/>
    <d v="2019-05-01T18:00:00"/>
    <d v="2019-05-01T18:30:00"/>
    <d v="2019-05-01T20:00:00"/>
    <d v="1899-12-30T03:10:00"/>
    <d v="1899-12-30T00:05:00"/>
    <d v="1899-12-30T01:35:00"/>
    <d v="1899-12-30T03:10:00"/>
    <n v="0.15"/>
    <n v="0.7"/>
    <n v="0"/>
    <n v="0"/>
    <n v="0.2"/>
    <n v="0"/>
    <n v="0.2"/>
    <n v="1"/>
    <n v="0"/>
    <s v="Teodoro Rea Martinez"/>
    <n v="0"/>
    <n v="0"/>
    <n v="0"/>
    <n v="1"/>
    <n v="0"/>
    <n v="0"/>
    <n v="0"/>
    <n v="0"/>
    <s v="R. Jilgueros,Voluntarios"/>
    <n v="8"/>
    <n v="0"/>
    <n v="9"/>
    <n v="0"/>
    <n v="0"/>
    <n v="0"/>
    <n v="0"/>
    <n v="0"/>
    <n v="0"/>
    <n v="0"/>
    <n v="0"/>
    <n v="0"/>
    <n v="0"/>
    <n v="0"/>
    <n v="6"/>
    <n v="0"/>
    <n v="0"/>
    <n v="0"/>
    <n v="0"/>
    <n v="0"/>
    <n v="23"/>
    <n v="2781"/>
    <n v="17"/>
    <n v="6"/>
    <n v="3064"/>
    <n v="3255"/>
    <n v="6319"/>
    <n v="354.42"/>
    <n v="6673.42"/>
    <s v="Sin dato"/>
    <s v="Sin dato"/>
    <s v="Sin dato"/>
    <s v="Sin dato"/>
    <s v="Superficial "/>
    <s v="Minimo"/>
    <s v="Bosque de Oyamel"/>
    <s v="BA"/>
    <s v="Corredor Biológico Chichinautzin "/>
    <s v="No aplica "/>
    <s v="CBC"/>
    <n v="0"/>
    <n v="0"/>
    <n v="2.67"/>
    <n v="3"/>
    <n v="0"/>
    <n v="0"/>
    <n v="5.67"/>
  </r>
  <r>
    <s v="19-17-0133"/>
    <n v="133"/>
    <d v="2019-05-01T00:00:00"/>
    <d v="2019-05-02T00:00:00"/>
    <s v="2 o más Días"/>
    <n v="2"/>
    <n v="1"/>
    <x v="15"/>
    <x v="0"/>
    <x v="4"/>
    <s v="Morelos "/>
    <n v="23"/>
    <x v="2"/>
    <s v="Tlalnepantla"/>
    <s v="Cerro Tezonco"/>
    <m/>
    <n v="19"/>
    <n v="4"/>
    <n v="13.88"/>
    <n v="98"/>
    <n v="59"/>
    <n v="21.42"/>
    <s v="N 19° 04' 13.88'' W 98° 59' 21.42''"/>
    <n v="3012"/>
    <n v="0"/>
    <n v="0"/>
    <n v="33"/>
    <n v="50.34"/>
    <n v="20"/>
    <n v="0"/>
    <n v="103.34"/>
    <n v="2131.77"/>
    <n v="16.028345864661652"/>
    <s v="Movil"/>
    <s v="Bigada Municipal"/>
    <x v="0"/>
    <x v="0"/>
    <s v="Comunal"/>
    <s v="Conservación "/>
    <d v="2019-05-01T14:20:00"/>
    <d v="2019-05-01T14:30:00"/>
    <d v="2019-05-01T14:50:00"/>
    <d v="2019-05-01T16:20:00"/>
    <d v="2019-05-01T16:25:00"/>
    <d v="2019-05-02T08:30:00"/>
    <d v="2019-05-02T11:00:00"/>
    <d v="2019-05-02T12:30:00"/>
    <d v="2019-05-02T14:00:00"/>
    <d v="1899-12-30T22:10:00"/>
    <d v="1899-12-30T00:10:00"/>
    <d v="1899-12-30T01:50:00"/>
    <d v="1899-12-30T22:10:00"/>
    <n v="4"/>
    <n v="8"/>
    <n v="0"/>
    <n v="0"/>
    <n v="2"/>
    <n v="0"/>
    <n v="0"/>
    <n v="10"/>
    <n v="0"/>
    <s v="Margarito Galeana Moreno"/>
    <n v="0"/>
    <n v="0"/>
    <n v="0"/>
    <n v="0"/>
    <n v="0"/>
    <n v="0"/>
    <n v="0"/>
    <n v="0"/>
    <s v="Bigada F16, R. Tlalnepantla, CONANP"/>
    <n v="0"/>
    <n v="0"/>
    <n v="18"/>
    <n v="0"/>
    <n v="0"/>
    <n v="20"/>
    <n v="0"/>
    <n v="0"/>
    <n v="0"/>
    <n v="0"/>
    <n v="25"/>
    <n v="0"/>
    <n v="0"/>
    <n v="0"/>
    <n v="0"/>
    <n v="0"/>
    <n v="0"/>
    <n v="0"/>
    <n v="0"/>
    <n v="0"/>
    <n v="63"/>
    <n v="2844"/>
    <n v="63"/>
    <n v="0"/>
    <n v="0"/>
    <n v="13671"/>
    <n v="13671"/>
    <n v="2812"/>
    <n v="16483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33"/>
    <n v="50.34"/>
    <n v="20"/>
    <n v="0"/>
    <n v="103.34"/>
  </r>
  <r>
    <s v="19-17-0134"/>
    <n v="134"/>
    <d v="2019-05-01T00:00:00"/>
    <d v="2019-05-01T00:00:00"/>
    <s v="1 Día"/>
    <n v="3"/>
    <n v="1"/>
    <x v="15"/>
    <x v="0"/>
    <x v="4"/>
    <s v="Morelos "/>
    <n v="22"/>
    <x v="12"/>
    <s v="Tetela del volcan"/>
    <s v="Loma San Isidro"/>
    <m/>
    <n v="18"/>
    <n v="56"/>
    <n v="29.9"/>
    <n v="98"/>
    <n v="41"/>
    <n v="19.100000000000001"/>
    <s v="N 18° 56' 29.90'' W 98° 41' 19.10''"/>
    <n v="2954"/>
    <n v="0"/>
    <n v="0"/>
    <n v="0.5"/>
    <n v="0"/>
    <n v="0.4"/>
    <n v="0"/>
    <n v="0.9"/>
    <n v="2132.67"/>
    <n v="15.915447761194031"/>
    <s v="Movil"/>
    <s v="Brigada F18"/>
    <x v="1"/>
    <x v="1"/>
    <s v="Ejidal"/>
    <s v="Conservación "/>
    <d v="2019-05-01T14:35:00"/>
    <d v="2019-05-01T14:40:00"/>
    <d v="2019-05-01T14:45:00"/>
    <d v="2019-05-01T15:40:00"/>
    <d v="2019-05-01T15:50:00"/>
    <m/>
    <d v="2019-05-01T17:00:00"/>
    <d v="2019-05-01T18:00:00"/>
    <d v="2019-05-01T19:00:00"/>
    <d v="1899-12-30T03:25:00"/>
    <d v="1899-12-30T00:05:00"/>
    <d v="1899-12-30T01:00:00"/>
    <d v="1899-12-30T03:25:00"/>
    <n v="0.1"/>
    <n v="0.2"/>
    <n v="0"/>
    <n v="0"/>
    <n v="0.1"/>
    <n v="0"/>
    <n v="0"/>
    <n v="0"/>
    <n v="0"/>
    <s v="Alvaro Perez Martinez"/>
    <n v="0"/>
    <n v="0"/>
    <n v="0"/>
    <n v="0"/>
    <n v="0"/>
    <n v="0"/>
    <n v="0"/>
    <n v="0"/>
    <s v="Brigada F 18"/>
    <n v="0"/>
    <n v="0"/>
    <n v="0"/>
    <n v="0"/>
    <n v="0"/>
    <n v="0"/>
    <n v="0"/>
    <n v="0"/>
    <n v="0"/>
    <n v="0"/>
    <n v="9"/>
    <n v="0"/>
    <n v="0"/>
    <n v="0"/>
    <n v="0"/>
    <n v="0"/>
    <n v="0"/>
    <n v="0"/>
    <n v="0"/>
    <n v="0"/>
    <n v="9"/>
    <n v="2853"/>
    <n v="9"/>
    <n v="0"/>
    <n v="0"/>
    <n v="1953"/>
    <n v="1953"/>
    <n v="146.59"/>
    <n v="2099.59"/>
    <s v="Sin dato"/>
    <s v="Sin dato"/>
    <s v="Sin dato"/>
    <s v="Sin dato"/>
    <s v="Superficial "/>
    <s v="Minimo"/>
    <s v="Bosque de Oyamel"/>
    <s v="BA"/>
    <s v="Fuera ANP"/>
    <s v="No aplica "/>
    <s v="FANP"/>
    <n v="0"/>
    <n v="0"/>
    <n v="0"/>
    <n v="0"/>
    <n v="0"/>
    <n v="0"/>
    <n v="0"/>
  </r>
  <r>
    <s v="19-17-0135"/>
    <n v="135"/>
    <d v="2019-05-02T00:00:00"/>
    <d v="2019-05-02T00:00:00"/>
    <s v="1 Día"/>
    <n v="4"/>
    <n v="1"/>
    <x v="15"/>
    <x v="2"/>
    <x v="4"/>
    <s v="Morelos "/>
    <n v="9"/>
    <x v="0"/>
    <s v="Coajomulco"/>
    <s v="Corral de Antonio"/>
    <m/>
    <n v="19"/>
    <n v="3"/>
    <n v="26.8"/>
    <n v="99"/>
    <n v="11"/>
    <n v="17.100000000000001"/>
    <s v="N 19° 03' 26.80'' W 99° 11' 17.10''"/>
    <n v="2877"/>
    <n v="0"/>
    <n v="0"/>
    <n v="0.3"/>
    <n v="0.5"/>
    <n v="0"/>
    <n v="0"/>
    <n v="0.8"/>
    <n v="2133.4700000000003"/>
    <n v="15.803481481481484"/>
    <s v="Fijo"/>
    <s v="Municipios"/>
    <x v="0"/>
    <x v="0"/>
    <s v="Comunal"/>
    <s v="Conservación "/>
    <d v="2019-05-02T09:40:00"/>
    <d v="2019-05-02T09:45:00"/>
    <d v="2019-05-02T09:50:00"/>
    <d v="2019-05-02T11:30:00"/>
    <d v="2019-05-02T11:35:00"/>
    <m/>
    <d v="2019-05-02T13:20:00"/>
    <d v="2019-05-02T13:55:00"/>
    <s v="02-may 15.00"/>
    <d v="1899-12-30T04:15:00"/>
    <d v="1899-12-30T00:05:00"/>
    <d v="1899-12-30T01:45:00"/>
    <d v="1899-12-30T04:15:00"/>
    <n v="0.3"/>
    <n v="0.4"/>
    <n v="0"/>
    <n v="0"/>
    <n v="0"/>
    <n v="0"/>
    <n v="0"/>
    <n v="0.7"/>
    <n v="0"/>
    <s v="Federico Galeana Simeon"/>
    <n v="0"/>
    <n v="1"/>
    <n v="0"/>
    <n v="0"/>
    <n v="0"/>
    <n v="0"/>
    <n v="0"/>
    <n v="0"/>
    <s v="Voluntarios"/>
    <n v="7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17"/>
    <n v="2870"/>
    <n v="7"/>
    <n v="10"/>
    <n v="2681"/>
    <n v="2170"/>
    <n v="4851"/>
    <n v="334.49"/>
    <n v="5185.49"/>
    <s v="Sin dato"/>
    <s v="Sin dato"/>
    <s v="Sin dato"/>
    <s v="Sin dato"/>
    <s v="Superficial "/>
    <s v="Minimo"/>
    <s v="Bosque de Oyamel"/>
    <s v="BA"/>
    <s v="Corredor Biológico Chichinautzin "/>
    <s v="No aplica "/>
    <s v="CBC"/>
    <n v="0"/>
    <n v="0"/>
    <n v="0.3"/>
    <n v="0.5"/>
    <n v="0"/>
    <n v="0"/>
    <n v="0.8"/>
  </r>
  <r>
    <s v="19-17-0136"/>
    <n v="136"/>
    <d v="2019-05-05T00:00:00"/>
    <d v="2019-05-06T00:00:00"/>
    <s v="2 o más Días"/>
    <n v="5"/>
    <n v="1"/>
    <x v="15"/>
    <x v="5"/>
    <x v="4"/>
    <s v="Morelos "/>
    <n v="23"/>
    <x v="2"/>
    <s v="Tlalnepantla"/>
    <s v="Oyacalco"/>
    <m/>
    <n v="19"/>
    <n v="2"/>
    <n v="52.35"/>
    <n v="99"/>
    <n v="1"/>
    <n v="21.9"/>
    <s v="N 19° 02' 52.35'' W 99° 01' 21.90''"/>
    <n v="2993"/>
    <n v="0"/>
    <n v="0"/>
    <n v="47.11"/>
    <n v="90"/>
    <n v="0"/>
    <n v="0"/>
    <n v="137.11000000000001"/>
    <n v="2270.5800000000004"/>
    <n v="16.695441176470592"/>
    <s v="Fijo"/>
    <s v="Municipios"/>
    <x v="0"/>
    <x v="0"/>
    <s v="Comunal"/>
    <s v="Conservación "/>
    <d v="2019-05-05T17:00:00"/>
    <d v="2019-05-05T17:10:00"/>
    <d v="2019-05-06T06:00:00"/>
    <d v="2019-05-06T07:00:00"/>
    <d v="2019-05-06T07:00:00"/>
    <m/>
    <d v="2019-05-06T13:00:00"/>
    <d v="2019-05-06T17:00:00"/>
    <d v="2019-05-06T00:00:00"/>
    <d v="1899-12-30T23:59:00"/>
    <d v="1899-12-30T00:10:00"/>
    <d v="1899-12-30T13:50:00"/>
    <d v="1899-12-30T23:59:00"/>
    <n v="0.8"/>
    <n v="0.6"/>
    <n v="0.3"/>
    <n v="0"/>
    <n v="1.2"/>
    <n v="0"/>
    <n v="3.5"/>
    <n v="0"/>
    <n v="0"/>
    <s v="Pedro Riegos Avila"/>
    <n v="0"/>
    <n v="0"/>
    <n v="0"/>
    <n v="0"/>
    <n v="0"/>
    <n v="0"/>
    <n v="0"/>
    <n v="0"/>
    <s v="R-Tlalnepantla y San Jose.Brigada CONANP"/>
    <n v="0"/>
    <n v="0"/>
    <n v="19"/>
    <n v="0"/>
    <n v="0"/>
    <n v="10"/>
    <n v="0"/>
    <n v="0"/>
    <n v="0"/>
    <n v="0"/>
    <n v="0"/>
    <n v="0"/>
    <n v="1"/>
    <n v="2"/>
    <n v="0"/>
    <n v="3"/>
    <n v="0"/>
    <n v="0"/>
    <n v="0"/>
    <n v="0"/>
    <n v="35"/>
    <n v="2905"/>
    <n v="35"/>
    <n v="0"/>
    <n v="0"/>
    <n v="7595"/>
    <n v="7595"/>
    <n v="152"/>
    <n v="7747"/>
    <s v="Sin dato"/>
    <s v="Sin dato"/>
    <s v="Sin dato"/>
    <s v="Sin dato"/>
    <s v="Superficial "/>
    <s v="Minimo"/>
    <s v="Bosque de Pino "/>
    <s v="BP"/>
    <s v="Corredor Biológico Chichinautzin "/>
    <s v="No aplica "/>
    <s v="CBC"/>
    <n v="0"/>
    <n v="0"/>
    <n v="47.11"/>
    <n v="90"/>
    <n v="0"/>
    <n v="0"/>
    <n v="137.11000000000001"/>
  </r>
  <r>
    <s v="19-17-0137"/>
    <n v="137"/>
    <d v="2019-05-06T00:00:00"/>
    <d v="2019-05-07T00:00:00"/>
    <s v="2 o más Días"/>
    <n v="6"/>
    <n v="1"/>
    <x v="15"/>
    <x v="6"/>
    <x v="4"/>
    <s v="Morelos "/>
    <n v="23"/>
    <x v="2"/>
    <s v="Tlalnepantla"/>
    <s v="Oclayuca"/>
    <s v="Sur Oriente"/>
    <n v="19"/>
    <n v="2"/>
    <n v="8.9"/>
    <n v="99"/>
    <n v="2"/>
    <n v="12.12"/>
    <s v="N 19° 02' 08.90'' W 99° 02' 12.12''"/>
    <n v="2864"/>
    <n v="0"/>
    <n v="0"/>
    <n v="18.73"/>
    <n v="20"/>
    <n v="0"/>
    <n v="0"/>
    <n v="38.730000000000004"/>
    <n v="2309.3100000000004"/>
    <n v="16.856277372262777"/>
    <s v="Fijo"/>
    <s v="Municipios"/>
    <x v="0"/>
    <x v="0"/>
    <s v="Comunal"/>
    <s v="Conservación "/>
    <d v="2019-05-06T18:15:00"/>
    <d v="2019-05-06T18:20:00"/>
    <d v="2019-05-07T05:40:00"/>
    <d v="2019-05-07T07:40:00"/>
    <d v="2019-05-07T07:45:00"/>
    <d v="2019-05-07T09:00:00"/>
    <d v="2019-05-07T13:00:00"/>
    <d v="2019-05-07T16:00:00"/>
    <d v="2019-05-07T17:30:00"/>
    <d v="1899-12-30T21:45:00"/>
    <d v="1899-12-30T00:05:00"/>
    <d v="1899-12-30T13:20:00"/>
    <d v="1899-12-30T21:45:00"/>
    <n v="1"/>
    <n v="1.5"/>
    <n v="0.8"/>
    <n v="0"/>
    <n v="0.8"/>
    <n v="0"/>
    <n v="0"/>
    <n v="3"/>
    <n v="0"/>
    <s v="Pedro Riegos Avila"/>
    <n v="0"/>
    <n v="0"/>
    <n v="0"/>
    <n v="0"/>
    <n v="0"/>
    <n v="0"/>
    <n v="0"/>
    <n v="0"/>
    <s v="R-Tlalnepantla,Tepoztlan,Amatlan,CONANP,Voluntarios"/>
    <n v="0"/>
    <n v="0"/>
    <n v="29"/>
    <n v="0"/>
    <n v="0"/>
    <n v="19"/>
    <n v="0"/>
    <n v="0"/>
    <n v="0"/>
    <n v="0"/>
    <n v="0"/>
    <n v="0"/>
    <n v="0"/>
    <n v="0"/>
    <n v="2"/>
    <n v="0"/>
    <n v="0"/>
    <n v="0"/>
    <n v="0"/>
    <n v="0"/>
    <n v="50"/>
    <n v="2955"/>
    <n v="48"/>
    <n v="2"/>
    <n v="0"/>
    <n v="10850"/>
    <n v="10850"/>
    <n v="1026"/>
    <n v="11876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18.73"/>
    <n v="20"/>
    <n v="0"/>
    <n v="0"/>
    <n v="38.730000000000004"/>
  </r>
  <r>
    <s v="19-17-0138"/>
    <n v="138"/>
    <d v="2019-05-07T00:00:00"/>
    <d v="2019-05-07T00:00:00"/>
    <s v="1 Día"/>
    <n v="7"/>
    <n v="1"/>
    <x v="15"/>
    <x v="4"/>
    <x v="4"/>
    <s v="Morelos "/>
    <n v="20"/>
    <x v="1"/>
    <s v="San Juan Tlacotenco"/>
    <s v="Cuashinca"/>
    <m/>
    <n v="19"/>
    <n v="0"/>
    <n v="35.799999999999997"/>
    <n v="99"/>
    <n v="5"/>
    <n v="52.4"/>
    <s v="N 19° 00' 35.80'' W 99° 05' 52.40''"/>
    <n v="2244"/>
    <n v="0"/>
    <n v="0"/>
    <n v="0.3"/>
    <n v="0.6"/>
    <n v="0"/>
    <n v="0"/>
    <n v="0.89999999999999991"/>
    <n v="2310.2100000000005"/>
    <n v="16.740652173913048"/>
    <s v="Fijo"/>
    <s v="CONAFOR"/>
    <x v="3"/>
    <x v="3"/>
    <s v="Comunal"/>
    <s v="Conservación "/>
    <d v="2019-05-07T16:50:00"/>
    <d v="2019-05-07T16:55:00"/>
    <d v="2019-05-07T17:00:00"/>
    <d v="2019-05-07T17:40:00"/>
    <d v="2019-05-07T17:45:00"/>
    <m/>
    <d v="2019-05-07T19:00:00"/>
    <d v="2019-05-07T20:00:00"/>
    <d v="2019-05-07T20:40:00"/>
    <d v="1899-12-30T03:10:00"/>
    <d v="1899-12-30T00:05:00"/>
    <d v="1899-12-30T00:45:00"/>
    <d v="1899-12-30T03:10:00"/>
    <n v="0.1"/>
    <n v="0.3"/>
    <n v="0"/>
    <n v="0"/>
    <n v="0.05"/>
    <n v="0"/>
    <n v="0"/>
    <n v="0.5"/>
    <n v="0"/>
    <s v="Margarito Rodriguez Rodriguez "/>
    <n v="0"/>
    <n v="0"/>
    <n v="1"/>
    <n v="0"/>
    <n v="0"/>
    <n v="0"/>
    <n v="0"/>
    <n v="0"/>
    <s v="R,Tepoztlan,Otros,SDS,Pc Tepoztlan"/>
    <n v="10"/>
    <m/>
    <n v="7"/>
    <m/>
    <n v="9"/>
    <n v="0"/>
    <n v="0"/>
    <n v="0"/>
    <n v="0"/>
    <n v="0"/>
    <n v="21"/>
    <n v="9"/>
    <n v="0"/>
    <n v="0"/>
    <n v="0"/>
    <n v="0"/>
    <n v="0"/>
    <n v="0"/>
    <n v="0"/>
    <n v="0"/>
    <n v="56"/>
    <n v="3011"/>
    <n v="56"/>
    <n v="0"/>
    <n v="3830"/>
    <n v="9982"/>
    <n v="13812"/>
    <n v="1267.3599999999999"/>
    <n v="15079.36"/>
    <s v="Sin dato"/>
    <s v="Sin dato"/>
    <s v="Sin dato"/>
    <s v="Sin dato"/>
    <s v="Superficial "/>
    <s v="Minimo"/>
    <s v="Bosque de Encino - Pino"/>
    <s v="BQP"/>
    <s v="Parque Nacional El Tepozteco "/>
    <s v="No aplica "/>
    <s v="PNT"/>
    <n v="0"/>
    <n v="0"/>
    <n v="0.3"/>
    <n v="0.6"/>
    <n v="0"/>
    <n v="0"/>
    <n v="0.89999999999999991"/>
  </r>
  <r>
    <s v="19-17-0139"/>
    <n v="139"/>
    <d v="2019-05-07T00:00:00"/>
    <d v="2019-05-07T00:00:00"/>
    <s v="1 Día"/>
    <n v="8"/>
    <n v="2"/>
    <x v="15"/>
    <x v="4"/>
    <x v="4"/>
    <s v="Morelos "/>
    <n v="20"/>
    <x v="1"/>
    <s v="Santa Catarina "/>
    <s v="El Casahuate"/>
    <m/>
    <n v="19"/>
    <n v="59"/>
    <n v="7.43"/>
    <n v="99"/>
    <n v="9"/>
    <n v="17.940000000000001"/>
    <s v="N 19° 59' 07.43'' W 99° 09' 17.94''"/>
    <n v="1722"/>
    <n v="0"/>
    <n v="0"/>
    <n v="3.66"/>
    <n v="5"/>
    <n v="0"/>
    <n v="0"/>
    <n v="8.66"/>
    <n v="2318.8700000000003"/>
    <n v="16.682517985611515"/>
    <s v="Fijo"/>
    <s v="CONAFOR"/>
    <x v="3"/>
    <x v="4"/>
    <s v="Comunal"/>
    <s v="Conservación "/>
    <d v="2019-05-07T16:45:00"/>
    <d v="2019-05-07T16:50:00"/>
    <d v="2019-05-07T17:00:00"/>
    <d v="2019-05-07T17:40:00"/>
    <d v="2019-05-07T17:50:00"/>
    <m/>
    <d v="2019-05-07T20:00:00"/>
    <d v="2019-05-07T20:45:00"/>
    <d v="2019-05-07T21:40:00"/>
    <d v="1899-12-30T04:00:00"/>
    <d v="1899-12-30T00:05:00"/>
    <d v="1899-12-30T00:50:00"/>
    <d v="1899-12-30T04:00:00"/>
    <n v="0.7"/>
    <n v="1.2"/>
    <n v="0"/>
    <n v="0"/>
    <n v="0.8"/>
    <n v="0"/>
    <n v="0.3"/>
    <n v="1"/>
    <n v="0"/>
    <s v="Rogelio Galeana Martinez"/>
    <n v="1"/>
    <n v="0"/>
    <n v="0"/>
    <n v="0"/>
    <n v="0"/>
    <n v="0"/>
    <n v="0"/>
    <n v="0"/>
    <s v="R,Tepoztlan "/>
    <n v="9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3027"/>
    <n v="16"/>
    <n v="0"/>
    <n v="3447"/>
    <n v="1519"/>
    <n v="4966"/>
    <n v="285.85000000000002"/>
    <n v="5251.85"/>
    <s v="Sin dato"/>
    <s v="Sin dato"/>
    <s v="Sin dato"/>
    <s v="Sin dato"/>
    <s v="Superficial "/>
    <s v="Minimo"/>
    <s v="Bosque de Encino - Pino"/>
    <s v="BQP"/>
    <s v="Parque Nacional El Tepozteco "/>
    <s v="No aplica "/>
    <s v="PNT"/>
    <n v="0"/>
    <n v="0"/>
    <n v="3.66"/>
    <n v="5"/>
    <n v="0"/>
    <n v="0"/>
    <n v="8.66"/>
  </r>
  <r>
    <s v="19-17-0140"/>
    <n v="140"/>
    <d v="2019-05-08T00:00:00"/>
    <d v="2019-05-08T00:00:00"/>
    <s v="1 Día"/>
    <n v="9"/>
    <n v="1"/>
    <x v="16"/>
    <x v="0"/>
    <x v="4"/>
    <s v="Morelos "/>
    <n v="7"/>
    <x v="5"/>
    <s v="Ahuatepec "/>
    <s v="km 74.400 Mex-Cuern Autopista"/>
    <m/>
    <n v="18"/>
    <n v="59"/>
    <n v="33"/>
    <n v="99"/>
    <n v="12"/>
    <n v="3"/>
    <s v="N 18° 59' 33.00'' W 99° 12' 03.00''"/>
    <n v="1973"/>
    <n v="0"/>
    <n v="0"/>
    <n v="0.3"/>
    <n v="0.1"/>
    <n v="0"/>
    <n v="0"/>
    <n v="0.4"/>
    <n v="2319.2700000000004"/>
    <n v="16.566214285714288"/>
    <s v="Fijo"/>
    <s v="CONAFOR"/>
    <x v="1"/>
    <x v="1"/>
    <s v="Comunal"/>
    <s v="Conservación "/>
    <d v="2019-05-08T10:00:00"/>
    <d v="2019-05-08T10:52:00"/>
    <d v="2019-05-08T10:54:00"/>
    <d v="2019-05-08T11:10:00"/>
    <d v="2019-05-08T11:15:00"/>
    <m/>
    <d v="2019-05-08T13:00:00"/>
    <d v="2019-05-08T13:40:00"/>
    <d v="2019-05-08T14:00:00"/>
    <d v="1899-12-30T03:40:00"/>
    <d v="1899-12-30T00:52:00"/>
    <d v="1899-12-30T00:18:00"/>
    <d v="1899-12-30T03:40:00"/>
    <n v="0.05"/>
    <n v="0.08"/>
    <n v="0"/>
    <n v="0"/>
    <n v="7.0000000000000007E-2"/>
    <n v="0.04"/>
    <n v="0"/>
    <n v="0.08"/>
    <n v="0"/>
    <s v="Teodoro Rea Martinez"/>
    <n v="0"/>
    <n v="0"/>
    <n v="0"/>
    <n v="1"/>
    <n v="0"/>
    <n v="0"/>
    <n v="0"/>
    <n v="0"/>
    <s v="Otras de pendencias,Voluntarios"/>
    <n v="9"/>
    <n v="0"/>
    <n v="0"/>
    <n v="0"/>
    <n v="0"/>
    <n v="0"/>
    <n v="0"/>
    <n v="0"/>
    <n v="0"/>
    <n v="4"/>
    <n v="0"/>
    <n v="0"/>
    <n v="0"/>
    <n v="0"/>
    <n v="5"/>
    <n v="0"/>
    <n v="0"/>
    <n v="0"/>
    <n v="0"/>
    <n v="0"/>
    <n v="18"/>
    <n v="3045"/>
    <n v="13"/>
    <n v="5"/>
    <n v="3447"/>
    <n v="1953"/>
    <n v="5400"/>
    <n v="225.88"/>
    <n v="5625.88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0.3"/>
    <n v="0.1"/>
    <n v="0"/>
    <n v="0"/>
    <n v="0.4"/>
  </r>
  <r>
    <s v="19-17-0141"/>
    <n v="141"/>
    <d v="2019-05-08T00:00:00"/>
    <d v="2019-05-08T00:00:00"/>
    <s v="1 Día"/>
    <n v="10"/>
    <n v="1"/>
    <x v="16"/>
    <x v="0"/>
    <x v="4"/>
    <s v="Morelos "/>
    <n v="20"/>
    <x v="1"/>
    <s v="San Juan Tlacotenco"/>
    <s v="Cuiloyo"/>
    <m/>
    <n v="19"/>
    <n v="3"/>
    <n v="5.5"/>
    <n v="99"/>
    <n v="7"/>
    <n v="40"/>
    <s v="N 19° 03' 05.50'' W 99° 07' 40.00''"/>
    <n v="3001"/>
    <n v="0"/>
    <n v="0"/>
    <n v="6.97"/>
    <n v="8"/>
    <n v="5"/>
    <n v="0"/>
    <n v="19.97"/>
    <n v="2339.2400000000002"/>
    <n v="16.590354609929079"/>
    <s v="Movil"/>
    <s v="Brigada CONANP"/>
    <x v="0"/>
    <x v="0"/>
    <s v="Comunal"/>
    <s v="Conservación "/>
    <d v="2019-05-08T10:40:00"/>
    <d v="2019-05-08T10:45:00"/>
    <d v="2019-05-08T10:58:00"/>
    <d v="2019-05-08T11:40:00"/>
    <d v="2019-05-08T11:40:00"/>
    <m/>
    <d v="2019-05-08T18:00:00"/>
    <d v="2019-05-08T18:30:00"/>
    <d v="2019-05-08T19:00:00"/>
    <d v="1899-12-30T07:50:00"/>
    <d v="1899-12-30T00:05:00"/>
    <d v="1899-12-30T00:55:00"/>
    <d v="1899-12-30T07:50:00"/>
    <n v="0.7"/>
    <n v="0.3"/>
    <n v="0"/>
    <n v="0"/>
    <n v="0.6"/>
    <n v="0"/>
    <n v="0"/>
    <n v="0.9"/>
    <n v="0"/>
    <s v="Ezequiel Rojas Arevalo"/>
    <n v="0"/>
    <n v="0"/>
    <n v="0"/>
    <n v="0"/>
    <n v="0"/>
    <n v="0"/>
    <n v="0"/>
    <n v="0"/>
    <s v="Brigada Conanp"/>
    <n v="0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9"/>
    <n v="3054"/>
    <n v="9"/>
    <n v="0"/>
    <n v="0"/>
    <n v="1953"/>
    <n v="1953"/>
    <n v="95"/>
    <n v="2048"/>
    <s v="Sin dato"/>
    <s v="Sin dato"/>
    <s v="Sin dato"/>
    <s v="Sin dato"/>
    <s v="Superficial "/>
    <s v="Minimo"/>
    <s v="Bosque de Pino - Encino "/>
    <s v="BPQ"/>
    <s v="Parque Nacional El Tepozteco "/>
    <s v="No aplica "/>
    <s v="PNT"/>
    <n v="0"/>
    <n v="0"/>
    <n v="6.97"/>
    <n v="8"/>
    <n v="5"/>
    <n v="0"/>
    <n v="19.97"/>
  </r>
  <r>
    <s v="19-17-0142"/>
    <n v="142"/>
    <d v="2019-05-09T00:00:00"/>
    <d v="2019-05-10T00:00:00"/>
    <s v="2 o más Días"/>
    <n v="11"/>
    <n v="1"/>
    <x v="16"/>
    <x v="2"/>
    <x v="4"/>
    <s v="Morelos "/>
    <n v="23"/>
    <x v="2"/>
    <s v="Tlalnepantla"/>
    <s v="Barrio Pobre"/>
    <m/>
    <n v="19"/>
    <n v="2"/>
    <n v="18.760000000000002"/>
    <n v="99"/>
    <n v="0"/>
    <n v="58.11"/>
    <s v="N 19° 02' 18.76'' W 99° 00' 58.11''"/>
    <n v="2700"/>
    <n v="0"/>
    <n v="80"/>
    <n v="180"/>
    <n v="150"/>
    <n v="57.77"/>
    <n v="0"/>
    <n v="467.77"/>
    <n v="2807.01"/>
    <n v="19.767676056338029"/>
    <s v="Movil"/>
    <s v="Bigada Municipal"/>
    <x v="0"/>
    <x v="0"/>
    <s v="Comunal"/>
    <s v="Conservación "/>
    <d v="2019-05-09T07:40:00"/>
    <d v="2019-05-09T07:50:00"/>
    <d v="2019-05-09T08:00:00"/>
    <d v="2019-05-09T08:50:00"/>
    <d v="2019-05-09T08:50:00"/>
    <m/>
    <d v="2019-05-10T17:00:00"/>
    <d v="2019-05-10T20:00:00"/>
    <s v="10-may 20.50"/>
    <d v="1899-12-31T12:20:00"/>
    <d v="1899-12-30T00:10:00"/>
    <d v="1899-12-30T01:00:00"/>
    <d v="1899-12-31T12:20:00"/>
    <n v="5"/>
    <n v="3"/>
    <n v="0"/>
    <n v="0"/>
    <n v="4"/>
    <n v="0"/>
    <n v="0"/>
    <n v="5"/>
    <n v="0"/>
    <s v="Pedro Riegos Avila"/>
    <n v="0"/>
    <n v="0"/>
    <n v="0"/>
    <n v="0"/>
    <n v="0"/>
    <n v="0"/>
    <n v="0"/>
    <n v="0"/>
    <s v="R-Tlalnepantla,San Jose,CONANP TlalnepantlaPoseedores de terrenos Forestales"/>
    <n v="0"/>
    <n v="0"/>
    <n v="30"/>
    <n v="0"/>
    <n v="0"/>
    <n v="20"/>
    <n v="0"/>
    <n v="0"/>
    <n v="0"/>
    <n v="0"/>
    <n v="0"/>
    <n v="0"/>
    <n v="0"/>
    <n v="0"/>
    <n v="0"/>
    <n v="3"/>
    <n v="0"/>
    <n v="0"/>
    <n v="0"/>
    <n v="0"/>
    <n v="53"/>
    <n v="3107"/>
    <n v="53"/>
    <n v="0"/>
    <n v="0"/>
    <n v="11501"/>
    <n v="11501"/>
    <n v="1520"/>
    <n v="13021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80"/>
    <n v="180"/>
    <n v="150"/>
    <n v="57.77"/>
    <n v="0"/>
    <n v="467.77"/>
  </r>
  <r>
    <s v="19-17-0143"/>
    <n v="143"/>
    <d v="2019-05-09T00:00:00"/>
    <d v="2019-05-11T00:00:00"/>
    <s v="2 o más Días"/>
    <n v="12"/>
    <n v="1"/>
    <x v="16"/>
    <x v="2"/>
    <x v="4"/>
    <s v="Morelos "/>
    <n v="20"/>
    <x v="1"/>
    <s v="Tepoztlán"/>
    <s v="El Jaguar,Ocelotzin,Los Gemelos"/>
    <m/>
    <n v="19"/>
    <n v="0"/>
    <n v="1.19"/>
    <n v="99"/>
    <n v="6"/>
    <n v="15.57"/>
    <s v="N 19° 00' 01.19'' W 99° 06' 15.57''"/>
    <n v="2096"/>
    <n v="0"/>
    <n v="0"/>
    <n v="10"/>
    <n v="20"/>
    <n v="8.6999999999999993"/>
    <n v="0"/>
    <n v="38.700000000000003"/>
    <n v="2845.71"/>
    <n v="19.900069930069929"/>
    <s v="Fijo"/>
    <s v="Municipios"/>
    <x v="3"/>
    <x v="4"/>
    <s v="Comunal"/>
    <s v="Conservación "/>
    <d v="2019-05-09T16:35:00"/>
    <d v="2019-05-09T16:40:00"/>
    <d v="2019-05-09T16:45:00"/>
    <d v="2019-05-09T17:20:00"/>
    <d v="2019-05-09T17:20:00"/>
    <d v="2019-05-10T08:20:00"/>
    <d v="2019-05-11T13:00:00"/>
    <d v="2019-05-11T20:00:00"/>
    <d v="2019-05-11T21:00:00"/>
    <d v="1900-01-01T03:25:00"/>
    <d v="1899-12-30T00:05:00"/>
    <d v="1899-12-30T00:40:00"/>
    <d v="1900-01-01T03:25:00"/>
    <n v="0.8"/>
    <n v="3"/>
    <n v="0.5"/>
    <n v="0"/>
    <n v="1"/>
    <n v="0"/>
    <n v="0"/>
    <n v="4"/>
    <n v="0"/>
    <s v="Ing. Miguel Angel Rodriguez Gurrero"/>
    <n v="0"/>
    <n v="1"/>
    <n v="1"/>
    <n v="0"/>
    <n v="0"/>
    <n v="0"/>
    <n v="0"/>
    <n v="0"/>
    <s v="R-Amatlan,Tepoztlan,Camaleon,Contingencias,F16,Pc,voluntarios"/>
    <n v="23"/>
    <n v="0"/>
    <n v="42"/>
    <n v="0"/>
    <n v="0"/>
    <n v="26"/>
    <n v="0"/>
    <n v="0"/>
    <n v="0"/>
    <n v="0"/>
    <n v="25"/>
    <n v="2"/>
    <n v="18"/>
    <n v="17"/>
    <n v="6"/>
    <n v="0"/>
    <n v="0"/>
    <n v="0"/>
    <n v="0"/>
    <n v="0"/>
    <n v="159"/>
    <n v="3266"/>
    <n v="153"/>
    <n v="6"/>
    <n v="8809"/>
    <n v="29512"/>
    <n v="38321"/>
    <n v="1512"/>
    <n v="39833"/>
    <s v="Sin dato"/>
    <s v="Sin dato"/>
    <s v="Sin dato"/>
    <s v="Sin dato"/>
    <s v="Superficial "/>
    <s v="Minimo"/>
    <s v="Bosque de Encino - Pino"/>
    <s v="BQP"/>
    <s v="Parque Nacional El Tepozteco "/>
    <s v="No aplica "/>
    <s v="PNT"/>
    <n v="0"/>
    <n v="0"/>
    <n v="10"/>
    <n v="20"/>
    <n v="8.6999999999999993"/>
    <n v="0"/>
    <n v="38.700000000000003"/>
  </r>
  <r>
    <s v="19-17-0144"/>
    <n v="144"/>
    <d v="2019-05-10T00:00:00"/>
    <d v="2019-05-13T00:00:00"/>
    <s v="2 o más Días"/>
    <n v="13"/>
    <n v="1"/>
    <x v="16"/>
    <x v="1"/>
    <x v="4"/>
    <s v="Morelos "/>
    <n v="26"/>
    <x v="13"/>
    <s v="san jose de los Laureles"/>
    <s v="Xicotla"/>
    <m/>
    <n v="18"/>
    <n v="57"/>
    <n v="44.04"/>
    <n v="99"/>
    <n v="0"/>
    <n v="7.14"/>
    <s v="N 18° 57' 44.04'' W 99° 00' 07.14''"/>
    <n v="1800"/>
    <n v="0"/>
    <n v="0"/>
    <n v="23.14"/>
    <n v="40"/>
    <n v="30"/>
    <n v="0"/>
    <n v="93.14"/>
    <n v="2938.85"/>
    <n v="20.408680555555556"/>
    <s v="Fijo"/>
    <s v="Municipios"/>
    <x v="3"/>
    <x v="4"/>
    <s v="Comunal"/>
    <s v="Conservación "/>
    <d v="2019-05-10T13:25:00"/>
    <d v="2019-05-10T13:30:00"/>
    <d v="2019-05-10T13:40:00"/>
    <d v="2019-05-10T14:00:00"/>
    <d v="2019-05-10T14:10:00"/>
    <d v="2019-05-11T08:25:00"/>
    <d v="2019-05-12T19:00:00"/>
    <d v="2019-05-13T14:00:00"/>
    <d v="2019-05-13T15:00:00"/>
    <d v="1900-01-02T00:35:00"/>
    <d v="1899-12-30T00:05:00"/>
    <d v="1899-12-30T00:30:00"/>
    <d v="1900-01-02T00:35:00"/>
    <n v="1"/>
    <n v="4"/>
    <n v="0"/>
    <n v="0"/>
    <n v="3"/>
    <n v="0"/>
    <n v="0"/>
    <n v="6"/>
    <n v="0"/>
    <s v="Santiago Cervantes Soriano"/>
    <n v="0"/>
    <n v="1"/>
    <n v="1"/>
    <n v="0"/>
    <n v="0"/>
    <n v="0"/>
    <n v="0"/>
    <n v="0"/>
    <s v="R-Amatlan,San Jose,F16,F18,PA Tlayacapan,PcTlayacapan y San Jose,Voluntarios"/>
    <n v="23"/>
    <n v="0"/>
    <n v="64"/>
    <n v="0"/>
    <n v="0"/>
    <n v="0"/>
    <n v="0"/>
    <n v="0"/>
    <n v="0"/>
    <n v="0"/>
    <n v="20"/>
    <n v="0"/>
    <n v="12"/>
    <n v="22"/>
    <n v="10"/>
    <n v="0"/>
    <n v="0"/>
    <n v="0"/>
    <n v="0"/>
    <n v="0"/>
    <n v="151"/>
    <n v="3417"/>
    <n v="141"/>
    <n v="10"/>
    <n v="8809"/>
    <n v="27776"/>
    <n v="36585"/>
    <n v="2850"/>
    <n v="39435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22.55"/>
    <n v="40"/>
    <n v="30"/>
    <n v="0"/>
    <n v="92.55"/>
  </r>
  <r>
    <s v="19-17-0145"/>
    <n v="145"/>
    <d v="2019-05-10T00:00:00"/>
    <d v="2019-05-11T00:00:00"/>
    <s v="2 o más Días"/>
    <n v="14"/>
    <n v="1"/>
    <x v="16"/>
    <x v="1"/>
    <x v="4"/>
    <s v="Morelos "/>
    <n v="26"/>
    <x v="13"/>
    <s v="Tlayacapan"/>
    <s v="Pantitlan"/>
    <m/>
    <n v="18"/>
    <n v="55"/>
    <n v="51.71"/>
    <n v="99"/>
    <n v="0"/>
    <n v="3.21"/>
    <s v="N 18° 55' 51.71'' W 99° 00' 03.21''"/>
    <n v="1318"/>
    <n v="0"/>
    <n v="0"/>
    <n v="5"/>
    <n v="1.37"/>
    <n v="0"/>
    <n v="0"/>
    <n v="6.37"/>
    <n v="2945.22"/>
    <n v="20.311862068965517"/>
    <s v="Fijo"/>
    <s v="Municipios"/>
    <x v="3"/>
    <x v="4"/>
    <s v="Comunal"/>
    <s v="Conservación "/>
    <d v="2019-05-10T15:05:00"/>
    <d v="2019-05-10T15:10:00"/>
    <d v="2019-05-10T15:20:00"/>
    <d v="2019-05-10T16:10:00"/>
    <d v="2019-05-10T16:10:00"/>
    <m/>
    <d v="2019-05-11T12:00:00"/>
    <d v="2019-05-11T13:30:00"/>
    <d v="2019-05-11T14:20:00"/>
    <d v="1899-12-30T22:25:00"/>
    <d v="1899-12-30T00:05:00"/>
    <d v="1899-12-30T01:00:00"/>
    <d v="1899-12-30T22:25:00"/>
    <n v="0.5"/>
    <n v="0.9"/>
    <n v="0"/>
    <n v="0"/>
    <n v="0.6"/>
    <n v="0"/>
    <n v="0"/>
    <n v="1.2"/>
    <n v="0"/>
    <s v="Margarito Galeana Moreno"/>
    <n v="0"/>
    <n v="0"/>
    <n v="0"/>
    <n v="0"/>
    <n v="0"/>
    <n v="0"/>
    <n v="0"/>
    <n v="0"/>
    <s v="R-San Jose,F16,Pc Tlayacapan"/>
    <n v="0"/>
    <n v="0"/>
    <n v="9"/>
    <n v="0"/>
    <n v="0"/>
    <n v="0"/>
    <n v="0"/>
    <n v="0"/>
    <n v="0"/>
    <n v="0"/>
    <n v="23"/>
    <n v="0"/>
    <n v="0"/>
    <n v="2"/>
    <n v="0"/>
    <n v="0"/>
    <n v="0"/>
    <n v="0"/>
    <n v="0"/>
    <n v="0"/>
    <n v="34"/>
    <n v="3451"/>
    <n v="34"/>
    <n v="0"/>
    <n v="0"/>
    <n v="7378"/>
    <n v="7378"/>
    <n v="551"/>
    <n v="7929"/>
    <s v="Sin dato"/>
    <s v="Sin dato"/>
    <s v="Sin dato"/>
    <s v="Sin dato"/>
    <s v="Superficial "/>
    <s v="Minimo"/>
    <s v="Selva Baja Caducifolia "/>
    <s v="SBC"/>
    <s v="Corredor Biológico Chichinautzin "/>
    <s v="No aplica "/>
    <s v="CBC"/>
    <n v="0"/>
    <n v="0"/>
    <n v="1"/>
    <n v="0.87"/>
    <n v="0"/>
    <n v="0"/>
    <n v="1.87"/>
  </r>
  <r>
    <s v="19-17-0146"/>
    <n v="146"/>
    <d v="2019-05-10T00:00:00"/>
    <d v="2019-05-11T00:00:00"/>
    <s v="2 o más Días"/>
    <n v="15"/>
    <n v="1"/>
    <x v="16"/>
    <x v="1"/>
    <x v="4"/>
    <s v="Morelos "/>
    <n v="20"/>
    <x v="1"/>
    <s v="Santo Domingo"/>
    <s v="Tepemaxalo"/>
    <m/>
    <n v="18"/>
    <n v="59"/>
    <n v="59.82"/>
    <n v="99"/>
    <n v="3"/>
    <n v="7.28"/>
    <s v="N 18° 59' 59.82'' W 99° 03' 07.28''"/>
    <n v="1926"/>
    <n v="0"/>
    <n v="0"/>
    <n v="3"/>
    <n v="8"/>
    <n v="6.75"/>
    <n v="0"/>
    <n v="17.75"/>
    <n v="2962.97"/>
    <n v="20.294315068493148"/>
    <s v="Fijo"/>
    <s v="Municipios"/>
    <x v="3"/>
    <x v="4"/>
    <s v="Comunal"/>
    <s v="Conservación "/>
    <d v="2019-05-10T16:45:00"/>
    <d v="2019-05-10T16:50:00"/>
    <d v="2019-05-10T17:00:00"/>
    <d v="2019-05-10T17:32:00"/>
    <d v="2019-05-10T17:35:00"/>
    <m/>
    <d v="2019-05-11T15:00:00"/>
    <d v="2019-05-11T19:00:00"/>
    <d v="2019-05-11T20:00:00"/>
    <d v="1899-12-31T02:15:00"/>
    <d v="1899-12-30T00:05:00"/>
    <d v="1899-12-30T00:42:00"/>
    <d v="1899-12-31T02:15:00"/>
    <n v="2"/>
    <n v="3"/>
    <n v="0"/>
    <n v="0"/>
    <n v="1.5"/>
    <n v="0"/>
    <n v="0"/>
    <n v="4"/>
    <n v="0"/>
    <s v="Margarito Galeana Moreno"/>
    <n v="0"/>
    <n v="0"/>
    <n v="0"/>
    <n v="0"/>
    <n v="0"/>
    <n v="0"/>
    <n v="0"/>
    <n v="0"/>
    <s v="R-Amatlan ,Tepoztlan,F16,Pc Tepoztlan,"/>
    <n v="0"/>
    <n v="0"/>
    <n v="19"/>
    <n v="0"/>
    <n v="0"/>
    <n v="0"/>
    <n v="0"/>
    <n v="0"/>
    <n v="0"/>
    <n v="0"/>
    <n v="12"/>
    <n v="0"/>
    <n v="0"/>
    <n v="5"/>
    <n v="0"/>
    <n v="0"/>
    <n v="0"/>
    <n v="0"/>
    <n v="0"/>
    <n v="0"/>
    <n v="36"/>
    <n v="3487"/>
    <n v="36"/>
    <n v="0"/>
    <n v="0"/>
    <n v="7812"/>
    <n v="7812"/>
    <n v="1064"/>
    <n v="8876"/>
    <s v="Sin dato"/>
    <s v="Sin dato"/>
    <s v="Sin dato"/>
    <s v="Sin dato"/>
    <s v="Superficial "/>
    <s v="Minimo"/>
    <s v="Bosque de Encino - Pino"/>
    <s v="BQP"/>
    <s v="Parque Nacional El Tepozteco "/>
    <s v="No aplica "/>
    <s v="PNT"/>
    <n v="0"/>
    <n v="0"/>
    <n v="3"/>
    <n v="8"/>
    <n v="6.75"/>
    <n v="0"/>
    <n v="17.75"/>
  </r>
  <r>
    <s v="19-17-0147"/>
    <n v="147"/>
    <d v="2019-05-11T00:00:00"/>
    <d v="2019-05-11T00:00:00"/>
    <s v="1 Día"/>
    <n v="16"/>
    <n v="1"/>
    <x v="16"/>
    <x v="3"/>
    <x v="4"/>
    <s v="Morelos "/>
    <n v="7"/>
    <x v="5"/>
    <s v="Chamilpa"/>
    <s v="Puente Blanco"/>
    <s v="Norte "/>
    <n v="18"/>
    <n v="58"/>
    <n v="54.83"/>
    <n v="99"/>
    <n v="13"/>
    <n v="44.36"/>
    <s v="N 18° 58' 54.83'' W 99° 13' 44.36''"/>
    <n v="1879"/>
    <n v="0"/>
    <n v="0"/>
    <n v="1"/>
    <n v="0.78"/>
    <n v="0"/>
    <n v="0"/>
    <n v="1.78"/>
    <n v="2964.75"/>
    <n v="20.168367346938776"/>
    <s v="Fijo"/>
    <s v="CONAFOR"/>
    <x v="5"/>
    <x v="1"/>
    <s v="Comunal"/>
    <s v="Conservación "/>
    <d v="2019-05-11T09:30:00"/>
    <d v="2019-05-11T09:40:00"/>
    <s v="11:may 09:50"/>
    <d v="2019-05-11T10:30:00"/>
    <d v="2019-05-11T10:40:00"/>
    <m/>
    <d v="2019-05-11T12:00:00"/>
    <d v="2019-05-11T12:55:00"/>
    <d v="2019-05-11T13:50:00"/>
    <d v="1899-12-30T03:25:00"/>
    <d v="1899-12-30T00:10:00"/>
    <d v="1899-12-30T00:50:00"/>
    <d v="1899-12-30T03:25:00"/>
    <n v="0.3"/>
    <n v="0.2"/>
    <n v="0.1"/>
    <n v="0"/>
    <n v="0"/>
    <n v="0"/>
    <n v="0"/>
    <n v="0"/>
    <n v="0"/>
    <s v="Benjamin Gonzalez Villegas "/>
    <n v="0"/>
    <n v="0"/>
    <n v="0"/>
    <n v="0"/>
    <n v="0"/>
    <n v="0"/>
    <n v="0"/>
    <n v="0"/>
    <s v="Brigada F17"/>
    <n v="0"/>
    <n v="0"/>
    <n v="0"/>
    <n v="0"/>
    <n v="0"/>
    <n v="0"/>
    <n v="0"/>
    <n v="0"/>
    <n v="0"/>
    <n v="0"/>
    <n v="12"/>
    <n v="0"/>
    <n v="0"/>
    <n v="0"/>
    <n v="0"/>
    <n v="0"/>
    <n v="0"/>
    <n v="0"/>
    <n v="0"/>
    <n v="0"/>
    <n v="12"/>
    <n v="3499"/>
    <n v="12"/>
    <n v="0"/>
    <n v="0"/>
    <n v="2604"/>
    <n v="2604"/>
    <n v="228"/>
    <n v="2832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1"/>
    <n v="0.52"/>
    <n v="0"/>
    <n v="0"/>
    <n v="1.52"/>
  </r>
  <r>
    <s v="19-17-0148"/>
    <n v="148"/>
    <d v="2019-05-11T00:00:00"/>
    <d v="2019-05-11T00:00:00"/>
    <s v="1 Día"/>
    <n v="17"/>
    <n v="1"/>
    <x v="16"/>
    <x v="3"/>
    <x v="4"/>
    <s v="Morelos "/>
    <n v="9"/>
    <x v="0"/>
    <s v="Coajomulco"/>
    <s v="la Olla"/>
    <s v="Oriente "/>
    <n v="19"/>
    <n v="3"/>
    <n v="36.479999999999997"/>
    <n v="99"/>
    <n v="11"/>
    <n v="24.64"/>
    <s v="N 19° 03' 36.48'' W 99° 11' 24.64''"/>
    <n v="2900"/>
    <n v="0"/>
    <n v="0"/>
    <n v="1"/>
    <n v="0.88"/>
    <n v="0"/>
    <n v="0"/>
    <n v="1.88"/>
    <n v="2966.63"/>
    <n v="20.044797297297297"/>
    <s v="Fijo"/>
    <s v="Municipios"/>
    <x v="1"/>
    <x v="1"/>
    <s v="Comunal"/>
    <s v="Conservación "/>
    <d v="2019-05-11T10:50:00"/>
    <d v="2019-05-11T10:55:00"/>
    <d v="2019-05-11T11:00:00"/>
    <d v="2019-05-11T11:30:00"/>
    <s v="11-may 11.30"/>
    <m/>
    <d v="2019-05-11T15:00:00"/>
    <d v="2019-05-11T16:00:00"/>
    <d v="2019-05-11T16:30:00"/>
    <d v="1899-12-30T05:10:00"/>
    <d v="1899-12-30T00:05:00"/>
    <d v="1899-12-30T00:35:00"/>
    <d v="1899-12-30T05:10:00"/>
    <n v="0.1"/>
    <n v="0.4"/>
    <n v="0"/>
    <n v="0"/>
    <n v="0"/>
    <n v="0"/>
    <n v="0"/>
    <n v="0.5"/>
    <n v="0"/>
    <s v="Agustin Diaz Hernandez"/>
    <n v="0"/>
    <n v="0"/>
    <n v="0"/>
    <n v="0"/>
    <n v="0"/>
    <n v="0"/>
    <n v="0"/>
    <n v="0"/>
    <s v="R-Coajomulco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508"/>
    <n v="9"/>
    <n v="0"/>
    <n v="0"/>
    <n v="1953"/>
    <n v="1953"/>
    <n v="95"/>
    <n v="2048"/>
    <s v="Sin dato"/>
    <s v="Sin dato"/>
    <s v="Sin dato"/>
    <s v="Sin dato"/>
    <s v="Superficial "/>
    <s v="Minimo"/>
    <s v="Bosque de Oyamel"/>
    <s v="BA"/>
    <s v="Corredor Biológico Chichinautzin "/>
    <s v="No aplica "/>
    <s v="CBC"/>
    <n v="0"/>
    <n v="0"/>
    <n v="1"/>
    <n v="0.88"/>
    <n v="0"/>
    <n v="0"/>
    <n v="1.88"/>
  </r>
  <r>
    <s v="19-17-0149"/>
    <n v="149"/>
    <d v="2019-05-12T00:00:00"/>
    <d v="2019-05-12T00:00:00"/>
    <s v="1 Día"/>
    <n v="18"/>
    <n v="1"/>
    <x v="17"/>
    <x v="5"/>
    <x v="4"/>
    <s v="Morelos "/>
    <n v="20"/>
    <x v="1"/>
    <s v="Santa Catarina "/>
    <s v="Km1 mex-cuautla"/>
    <s v="Sur"/>
    <n v="19"/>
    <n v="0"/>
    <n v="32.04"/>
    <n v="99"/>
    <n v="10"/>
    <n v="3"/>
    <s v="N 19° 00' 32.04'' W 99° 10' 03.00''"/>
    <n v="2109"/>
    <n v="0"/>
    <n v="0"/>
    <n v="1.65"/>
    <n v="2"/>
    <n v="0"/>
    <n v="0"/>
    <n v="3.65"/>
    <n v="2970.28"/>
    <n v="19.934765100671143"/>
    <s v="Fijo"/>
    <s v="CONAFOR"/>
    <x v="5"/>
    <x v="1"/>
    <s v="Comunal"/>
    <s v="Conservación "/>
    <d v="2019-05-12T09:10:00"/>
    <d v="2019-05-12T09:15:00"/>
    <d v="2019-05-12T09:20:00"/>
    <d v="2019-05-12T10:00:00"/>
    <d v="2019-05-12T10:00:00"/>
    <m/>
    <d v="2019-05-12T16:00:00"/>
    <d v="2019-05-12T17:00:00"/>
    <d v="2019-05-12T17:40:00"/>
    <d v="1899-12-30T07:50:00"/>
    <d v="1899-12-30T00:05:00"/>
    <d v="1899-12-30T00:45:00"/>
    <d v="1899-12-30T07:50:00"/>
    <n v="0.2"/>
    <n v="0.1"/>
    <n v="0"/>
    <n v="0"/>
    <n v="0.3"/>
    <n v="0"/>
    <n v="0"/>
    <n v="0.5"/>
    <n v="0"/>
    <s v="Margarito Galeana Moreno"/>
    <n v="0"/>
    <n v="0"/>
    <n v="0"/>
    <n v="0"/>
    <n v="0"/>
    <n v="0"/>
    <n v="0"/>
    <n v="0"/>
    <s v="CONANP(Camaleon),F16"/>
    <n v="0"/>
    <n v="0"/>
    <n v="0"/>
    <n v="0"/>
    <n v="0"/>
    <n v="8"/>
    <n v="0"/>
    <n v="0"/>
    <n v="0"/>
    <n v="0"/>
    <n v="12"/>
    <n v="0"/>
    <n v="0"/>
    <n v="0"/>
    <n v="0"/>
    <n v="0"/>
    <n v="0"/>
    <n v="0"/>
    <n v="0"/>
    <n v="0"/>
    <n v="20"/>
    <n v="3528"/>
    <n v="20"/>
    <n v="0"/>
    <n v="0"/>
    <n v="4340"/>
    <n v="4340"/>
    <n v="380"/>
    <n v="4720"/>
    <s v="Sin dato"/>
    <s v="Sin dato"/>
    <s v="Sin dato"/>
    <s v="Sin dato"/>
    <s v="Superficial "/>
    <s v="Minimo"/>
    <s v="Bosque de Encino - Pino"/>
    <s v="BQP"/>
    <s v="Parque Nacional El Tepozteco "/>
    <s v="No aplica "/>
    <s v="PNT"/>
    <n v="0"/>
    <n v="0"/>
    <n v="1.65"/>
    <n v="2"/>
    <n v="0"/>
    <n v="0"/>
    <n v="3.65"/>
  </r>
  <r>
    <s v="19-17-0150"/>
    <m/>
    <m/>
    <m/>
    <s v="1 Día"/>
    <m/>
    <n v="1"/>
    <x v="18"/>
    <x v="3"/>
    <x v="0"/>
    <m/>
    <m/>
    <x v="14"/>
    <m/>
    <m/>
    <m/>
    <m/>
    <m/>
    <m/>
    <m/>
    <m/>
    <m/>
    <s v="N 00° 00' 00.00'' W 00° 00' 00.00''"/>
    <m/>
    <m/>
    <m/>
    <m/>
    <m/>
    <m/>
    <m/>
    <n v="0"/>
    <n v="2970.28"/>
    <e v="#DIV/0!"/>
    <m/>
    <m/>
    <x v="9"/>
    <x v="9"/>
    <s v="Comunal"/>
    <s v="Conservación "/>
    <m/>
    <m/>
    <m/>
    <m/>
    <m/>
    <m/>
    <m/>
    <m/>
    <m/>
    <m/>
    <m/>
    <m/>
    <d v="1899-12-3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3528"/>
    <n v="0"/>
    <n v="0"/>
    <n v="0"/>
    <n v="0"/>
    <n v="0"/>
    <m/>
    <n v="0"/>
    <s v="Sin dato"/>
    <s v="Sin dato"/>
    <s v="Sin dato"/>
    <s v="Sin dato"/>
    <s v="Superficial "/>
    <s v="Minimo"/>
    <m/>
    <m/>
    <m/>
    <m/>
    <m/>
    <m/>
    <m/>
    <m/>
    <m/>
    <m/>
    <m/>
    <n v="0"/>
  </r>
  <r>
    <s v="19-17-0151"/>
    <n v="151"/>
    <d v="2019-05-14T00:00:00"/>
    <d v="2019-05-14T00:00:00"/>
    <s v="1 Día"/>
    <n v="20"/>
    <n v="1"/>
    <x v="18"/>
    <x v="4"/>
    <x v="4"/>
    <s v="Morelos "/>
    <n v="23"/>
    <x v="2"/>
    <s v="Tlalnepantla"/>
    <s v="San Nicolas"/>
    <m/>
    <n v="19"/>
    <n v="1"/>
    <n v="2.2999999999999998"/>
    <n v="99"/>
    <n v="1"/>
    <n v="58"/>
    <s v="N 19° 01' 02.30'' W 99° 01' 58.00''"/>
    <n v="2452"/>
    <n v="0"/>
    <n v="0"/>
    <n v="100"/>
    <n v="75.400000000000006"/>
    <n v="40"/>
    <n v="0"/>
    <n v="215.4"/>
    <n v="3185.6800000000003"/>
    <n v="21.09721854304636"/>
    <s v="Fijo"/>
    <s v="CONAFOR"/>
    <x v="3"/>
    <x v="4"/>
    <s v="Comunal"/>
    <s v="Conservación "/>
    <d v="2019-05-14T09:20:00"/>
    <d v="2019-05-14T09:25:00"/>
    <d v="2019-05-14T09:30:00"/>
    <d v="2019-05-14T10:00:00"/>
    <d v="2019-05-14T10:05:00"/>
    <m/>
    <d v="2019-05-14T16:00:00"/>
    <d v="2019-05-14T17:00:00"/>
    <d v="2019-05-14T17:30:00"/>
    <d v="1899-12-30T07:40:00"/>
    <d v="1899-12-30T00:05:00"/>
    <d v="1899-12-30T00:35:00"/>
    <d v="1899-12-30T07:40:00"/>
    <n v="2"/>
    <n v="1"/>
    <n v="0"/>
    <n v="0"/>
    <n v="2"/>
    <n v="0"/>
    <n v="0"/>
    <n v="3"/>
    <n v="0"/>
    <s v="Pedro Riegos Avila"/>
    <n v="0"/>
    <n v="0"/>
    <n v="0"/>
    <n v="0"/>
    <n v="0"/>
    <n v="0"/>
    <n v="0"/>
    <n v="0"/>
    <s v="R-Tlalnepantla, CONANP"/>
    <n v="0"/>
    <n v="0"/>
    <n v="10"/>
    <n v="0"/>
    <n v="0"/>
    <n v="10"/>
    <n v="0"/>
    <n v="0"/>
    <n v="0"/>
    <n v="0"/>
    <n v="0"/>
    <n v="0"/>
    <n v="0"/>
    <n v="0"/>
    <n v="0"/>
    <n v="0"/>
    <n v="0"/>
    <n v="0"/>
    <n v="0"/>
    <n v="0"/>
    <n v="20"/>
    <n v="3548"/>
    <n v="20"/>
    <n v="0"/>
    <n v="0"/>
    <n v="4340"/>
    <n v="4340"/>
    <n v="190"/>
    <n v="4530"/>
    <s v="Sin dato"/>
    <s v="Sin dato"/>
    <s v="Sin dato"/>
    <s v="Sin dato"/>
    <s v="Superficial "/>
    <s v="Minimo"/>
    <s v="Bosque Mesofilo"/>
    <s v="BM"/>
    <s v="Corredor Biológico Chichinautzin "/>
    <s v="No aplica "/>
    <s v="CBC"/>
    <n v="0"/>
    <n v="0"/>
    <n v="100"/>
    <n v="75.400000000000006"/>
    <n v="40"/>
    <n v="0"/>
    <n v="215.4"/>
  </r>
  <r>
    <s v="19-17-0152"/>
    <n v="152"/>
    <d v="2019-05-14T00:00:00"/>
    <d v="2019-05-14T00:00:00"/>
    <s v="1 Día"/>
    <n v="21"/>
    <n v="1"/>
    <x v="17"/>
    <x v="4"/>
    <x v="4"/>
    <s v="Morelos "/>
    <n v="9"/>
    <x v="0"/>
    <s v="Huitzilac "/>
    <s v="Huertas de San Pedro"/>
    <m/>
    <n v="19"/>
    <n v="0"/>
    <n v="19.66"/>
    <n v="99"/>
    <n v="15"/>
    <n v="43.2"/>
    <s v="N 19° 00' 19.66'' W 99° 15' 43.20''"/>
    <n v="2224"/>
    <n v="0"/>
    <n v="0"/>
    <n v="0"/>
    <n v="0"/>
    <n v="0.3"/>
    <n v="0"/>
    <n v="0.3"/>
    <n v="3185.9800000000005"/>
    <n v="20.960394736842108"/>
    <s v="Movil"/>
    <s v="Bigada Municipal"/>
    <x v="8"/>
    <x v="1"/>
    <s v="Comunal"/>
    <s v="Conservación "/>
    <d v="2019-05-14T12:20:00"/>
    <d v="2019-05-14T12:25:00"/>
    <d v="2019-05-14T12:30:00"/>
    <d v="2019-05-14T13:00:00"/>
    <d v="2019-05-14T13:00:00"/>
    <m/>
    <d v="2019-05-14T13:20:00"/>
    <d v="2019-05-14T13:30:00"/>
    <d v="2019-05-14T14:10:00"/>
    <d v="1899-12-30T01:10:00"/>
    <d v="1899-12-30T00:05:00"/>
    <d v="1899-12-30T00:35:00"/>
    <d v="1899-12-30T01:10:00"/>
    <n v="0.1"/>
    <n v="0.3"/>
    <n v="0"/>
    <n v="0"/>
    <n v="0"/>
    <n v="0"/>
    <n v="0"/>
    <n v="0"/>
    <n v="0"/>
    <s v="Benjamin Gonzalez Villegas "/>
    <n v="0"/>
    <n v="0"/>
    <n v="0"/>
    <n v="0"/>
    <n v="0"/>
    <n v="0"/>
    <n v="0"/>
    <n v="0"/>
    <s v="F17"/>
    <n v="0"/>
    <n v="0"/>
    <n v="0"/>
    <n v="0"/>
    <n v="0"/>
    <n v="0"/>
    <n v="0"/>
    <n v="0"/>
    <n v="0"/>
    <n v="0"/>
    <n v="11"/>
    <n v="0"/>
    <n v="0"/>
    <n v="0"/>
    <n v="0"/>
    <n v="0"/>
    <n v="0"/>
    <n v="0"/>
    <n v="0"/>
    <n v="0"/>
    <n v="11"/>
    <n v="3559"/>
    <n v="11"/>
    <n v="0"/>
    <n v="0"/>
    <n v="2387"/>
    <n v="2387"/>
    <n v="152"/>
    <n v="2539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0"/>
    <n v="0"/>
    <n v="0.3"/>
    <n v="0"/>
    <n v="0.3"/>
  </r>
  <r>
    <s v="19-17-0153"/>
    <n v="153"/>
    <d v="2019-05-14T00:00:00"/>
    <d v="2019-05-14T00:00:00"/>
    <s v="1 Día"/>
    <n v="22"/>
    <n v="1"/>
    <x v="17"/>
    <x v="4"/>
    <x v="4"/>
    <s v="Morelos "/>
    <n v="20"/>
    <x v="1"/>
    <s v="San Juan Tlacotenco"/>
    <s v="Cuiloyo"/>
    <m/>
    <n v="19"/>
    <n v="2"/>
    <n v="44.77"/>
    <n v="99"/>
    <n v="4"/>
    <n v="26.47"/>
    <s v="N 19° 02' 44.77'' W 99° 04' 26.47''"/>
    <n v="2881"/>
    <n v="0"/>
    <n v="0"/>
    <n v="8"/>
    <n v="5.87"/>
    <n v="0"/>
    <n v="0"/>
    <n v="13.870000000000001"/>
    <n v="3199.8500000000004"/>
    <n v="20.914052287581701"/>
    <s v="Movil"/>
    <s v="Brigada CONANP"/>
    <x v="0"/>
    <x v="10"/>
    <s v="Comunal"/>
    <s v="Conservación "/>
    <d v="2019-05-14T14:20:00"/>
    <d v="2019-05-14T14:25:00"/>
    <d v="2019-05-14T14:30:00"/>
    <d v="2019-05-14T15:10:00"/>
    <d v="2019-05-14T15:10:00"/>
    <m/>
    <d v="2019-05-14T17:00:00"/>
    <d v="2019-05-14T18:30:00"/>
    <d v="2019-05-14T19:10:00"/>
    <d v="1899-12-30T04:10:00"/>
    <d v="1899-12-30T00:05:00"/>
    <d v="1899-12-30T00:45:00"/>
    <d v="1899-12-30T04:10:00"/>
    <n v="0.8"/>
    <n v="0.3"/>
    <n v="0"/>
    <n v="0"/>
    <n v="0.6"/>
    <n v="0"/>
    <n v="0"/>
    <n v="1"/>
    <n v="0"/>
    <s v="Ezequiel Rojas Arevalo"/>
    <n v="0"/>
    <n v="0"/>
    <n v="0"/>
    <n v="0"/>
    <n v="0"/>
    <n v="0"/>
    <n v="0"/>
    <n v="0"/>
    <s v="Camaleon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10"/>
    <n v="3569"/>
    <n v="10"/>
    <n v="0"/>
    <n v="0"/>
    <n v="2170"/>
    <n v="2170"/>
    <n v="100"/>
    <n v="2270"/>
    <s v="Sin dato"/>
    <s v="Sin dato"/>
    <s v="Sin dato"/>
    <s v="Sin dato"/>
    <s v="Superficial "/>
    <s v="Minimo"/>
    <s v="Bosque de Pino - Encino "/>
    <s v="BPQ"/>
    <s v="Parque Nacional El Tepozteco "/>
    <s v="No aplica "/>
    <s v="PNT"/>
    <n v="0"/>
    <n v="0"/>
    <n v="8"/>
    <n v="5.87"/>
    <n v="0"/>
    <n v="0"/>
    <n v="13.870000000000001"/>
  </r>
  <r>
    <s v="19-17-0154"/>
    <n v="154"/>
    <d v="2019-05-14T00:00:00"/>
    <d v="2019-05-14T00:00:00"/>
    <s v="1 Día"/>
    <n v="23"/>
    <n v="1"/>
    <x v="17"/>
    <x v="4"/>
    <x v="4"/>
    <s v="Morelos "/>
    <n v="9"/>
    <x v="0"/>
    <s v="Huitzilac "/>
    <s v="Porte suelos"/>
    <m/>
    <n v="19"/>
    <n v="5"/>
    <n v="38.32"/>
    <n v="99"/>
    <n v="16"/>
    <n v="38.49"/>
    <s v="N 19° 05' 38.32'' W 99° 16' 38.49''"/>
    <n v="2954"/>
    <n v="0"/>
    <n v="0"/>
    <n v="1.49"/>
    <n v="3"/>
    <n v="0"/>
    <n v="0"/>
    <n v="4.49"/>
    <n v="3204.34"/>
    <n v="20.8074025974026"/>
    <s v="Fijo"/>
    <s v="CONAFOR"/>
    <x v="0"/>
    <x v="0"/>
    <s v="Comunal"/>
    <s v="Conservación "/>
    <d v="2019-05-14T12:25:00"/>
    <d v="2019-05-14T12:35:00"/>
    <d v="2019-05-14T12:40:00"/>
    <d v="2019-05-14T13:00:00"/>
    <d v="2019-05-14T13:00:00"/>
    <m/>
    <d v="2019-05-14T16:00:00"/>
    <d v="2019-05-14T16:40:00"/>
    <d v="2019-05-14T17:00:00"/>
    <d v="1899-12-30T04:15:00"/>
    <d v="1899-12-30T00:10:00"/>
    <d v="1899-12-30T00:25:00"/>
    <d v="1899-12-30T04:15:00"/>
    <n v="0.2"/>
    <n v="0.9"/>
    <n v="0"/>
    <n v="0"/>
    <n v="0.3"/>
    <n v="0"/>
    <n v="0.3"/>
    <n v="1"/>
    <n v="0"/>
    <s v="Juan Carlos Arroyo Guz"/>
    <n v="0"/>
    <n v="0"/>
    <n v="0"/>
    <n v="0"/>
    <n v="0"/>
    <n v="0"/>
    <n v="0"/>
    <n v="0"/>
    <s v="CONANP Huitzilac"/>
    <n v="0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11"/>
    <n v="3580"/>
    <n v="11"/>
    <n v="0"/>
    <n v="0"/>
    <n v="2387"/>
    <n v="2387"/>
    <n v="100"/>
    <n v="2487"/>
    <s v="Sin dato"/>
    <s v="Sin dato"/>
    <s v="Sin dato"/>
    <s v="Sin dato"/>
    <s v="Superficial "/>
    <s v="Minimo"/>
    <s v="Bosque de Pino - Encino "/>
    <s v="BPQ"/>
    <s v="Parque Nacional Lagunas de Zempoala "/>
    <s v="No aplica "/>
    <s v="PNLZ"/>
    <n v="0"/>
    <n v="0"/>
    <n v="1.49"/>
    <n v="3"/>
    <n v="0"/>
    <n v="0"/>
    <n v="4.49"/>
  </r>
  <r>
    <s v="19-17-0155"/>
    <n v="155"/>
    <d v="2019-05-14T00:00:00"/>
    <d v="2019-05-15T00:00:00"/>
    <s v="2 o más Días"/>
    <n v="24"/>
    <n v="1"/>
    <x v="17"/>
    <x v="4"/>
    <x v="4"/>
    <s v="Morelos "/>
    <n v="9"/>
    <x v="0"/>
    <s v="Huitzilac "/>
    <s v="km 76+300 autopista Mex-cuer"/>
    <m/>
    <n v="18"/>
    <n v="59"/>
    <n v="9.06"/>
    <n v="99"/>
    <n v="12"/>
    <n v="40.35"/>
    <s v="N 18° 59' 09.06'' W 99° 12' 40.35''"/>
    <n v="1955"/>
    <n v="0"/>
    <n v="0"/>
    <n v="4.2300000000000004"/>
    <n v="10"/>
    <n v="5"/>
    <n v="0"/>
    <n v="19.23"/>
    <n v="3223.57"/>
    <n v="20.797225806451614"/>
    <s v="Fijo"/>
    <s v="CONAFOR"/>
    <x v="1"/>
    <x v="1"/>
    <s v="Comunal"/>
    <s v="Conservación "/>
    <d v="2019-05-14T17:25:00"/>
    <d v="2019-05-14T17:30:00"/>
    <d v="2019-05-14T21:16:00"/>
    <d v="2019-05-14T21:30:00"/>
    <s v="14-may21:30"/>
    <d v="2019-05-15T08:30:00"/>
    <d v="2019-05-15T14:00:00"/>
    <d v="2019-05-15T15:00:00"/>
    <d v="2019-05-15T16:00:00"/>
    <d v="1899-12-30T21:35:00"/>
    <d v="1899-12-30T00:05:00"/>
    <d v="1899-12-30T03:46:00"/>
    <d v="1899-12-30T21:35:00"/>
    <n v="0.8"/>
    <n v="0.3"/>
    <n v="0.8"/>
    <n v="0"/>
    <n v="0.5"/>
    <n v="0"/>
    <n v="0"/>
    <n v="1"/>
    <n v="0"/>
    <s v="Margarito Galeana Moreno"/>
    <n v="0"/>
    <n v="0"/>
    <n v="0"/>
    <n v="0"/>
    <n v="0"/>
    <n v="0"/>
    <n v="0"/>
    <n v="0"/>
    <s v="F16,Conanp,Otras Dependencias,Gob.del Municipio,Voluntarios"/>
    <n v="0"/>
    <n v="0"/>
    <n v="0"/>
    <n v="0"/>
    <n v="0"/>
    <n v="11"/>
    <n v="0"/>
    <n v="0"/>
    <n v="0"/>
    <n v="6"/>
    <n v="21"/>
    <n v="0"/>
    <n v="21"/>
    <n v="0"/>
    <n v="52"/>
    <n v="0"/>
    <n v="0"/>
    <n v="0"/>
    <n v="0"/>
    <n v="0"/>
    <n v="111"/>
    <n v="3691"/>
    <n v="59"/>
    <n v="52"/>
    <n v="0"/>
    <n v="24087"/>
    <n v="24087"/>
    <n v="1235"/>
    <n v="25322"/>
    <s v="Sin dato"/>
    <s v="Sin dato"/>
    <s v="Sin dato"/>
    <s v="Sin dato"/>
    <s v="Superficial "/>
    <s v="Minimo"/>
    <s v="Bosque de Pino - Encino "/>
    <s v="BPQ"/>
    <s v="Corredor Biológico Chichinautzin "/>
    <s v="No aplica "/>
    <s v="CBC"/>
    <n v="0"/>
    <n v="0"/>
    <n v="4.2300000000000004"/>
    <n v="10"/>
    <n v="5"/>
    <n v="0"/>
    <n v="19.23"/>
  </r>
  <r>
    <s v="19-17-0156"/>
    <n v="156"/>
    <d v="2019-05-15T00:00:00"/>
    <d v="2019-05-15T00:00:00"/>
    <s v="1 Día"/>
    <n v="25"/>
    <n v="1"/>
    <x v="17"/>
    <x v="0"/>
    <x v="4"/>
    <s v="Morelos "/>
    <n v="20"/>
    <x v="1"/>
    <s v="Santo Domingo"/>
    <s v="Acatlemanca"/>
    <m/>
    <n v="19"/>
    <n v="0"/>
    <n v="44.13"/>
    <n v="99"/>
    <n v="3"/>
    <n v="23.43"/>
    <s v="N 19° 00' 44.13'' W 99° 03' 23.43''"/>
    <n v="2116"/>
    <n v="0"/>
    <n v="0"/>
    <n v="8"/>
    <n v="12"/>
    <n v="14"/>
    <n v="0"/>
    <n v="34"/>
    <n v="3257.57"/>
    <n v="20.881858974358977"/>
    <s v="Movil"/>
    <s v="Brigada Municipal"/>
    <x v="1"/>
    <x v="1"/>
    <s v="Comunal"/>
    <s v="Conservación "/>
    <d v="2019-05-15T07:50:00"/>
    <d v="2019-05-15T07:55:00"/>
    <d v="2019-05-15T08:00:00"/>
    <d v="2019-05-15T09:00:00"/>
    <d v="2019-05-15T09:10:00"/>
    <m/>
    <d v="2019-05-15T16:00:00"/>
    <d v="2019-05-15T17:30:00"/>
    <d v="2019-05-15T18:30:00"/>
    <d v="1899-12-30T09:04:00"/>
    <d v="1899-12-30T00:05:00"/>
    <d v="1899-12-30T01:05:00"/>
    <d v="1899-12-30T09:04:00"/>
    <n v="1"/>
    <n v="0.8"/>
    <n v="0"/>
    <n v="0"/>
    <n v="0.6"/>
    <n v="0"/>
    <n v="0"/>
    <n v="1"/>
    <n v="0"/>
    <s v="Ezequiel Rojas Arevalo"/>
    <n v="0"/>
    <n v="0"/>
    <n v="0"/>
    <n v="0"/>
    <n v="0"/>
    <n v="0"/>
    <n v="0"/>
    <n v="0"/>
    <s v="R-Amatlan,Tepoztlan,Camaleon,Proteccion Ambiental,Pc"/>
    <n v="0"/>
    <n v="0"/>
    <n v="17"/>
    <n v="0"/>
    <n v="0"/>
    <n v="10"/>
    <n v="0"/>
    <n v="0"/>
    <n v="0"/>
    <n v="0"/>
    <n v="0"/>
    <n v="0"/>
    <n v="6"/>
    <n v="6"/>
    <n v="0"/>
    <n v="0"/>
    <n v="0"/>
    <n v="0"/>
    <n v="0"/>
    <n v="0"/>
    <n v="39"/>
    <n v="3730"/>
    <n v="39"/>
    <n v="0"/>
    <n v="0"/>
    <n v="8463"/>
    <n v="8463"/>
    <n v="551"/>
    <n v="9014"/>
    <s v="Sin dato"/>
    <s v="Sin dato"/>
    <s v="Sin dato"/>
    <s v="Sin dato"/>
    <s v="Superficial "/>
    <s v="Minimo"/>
    <s v="Bosque de Encino - Pino"/>
    <s v="BQP"/>
    <s v="Parque Nacional El Tepozteco "/>
    <s v="No aplica "/>
    <s v="PNT"/>
    <n v="0"/>
    <n v="0"/>
    <n v="8"/>
    <n v="12"/>
    <n v="14"/>
    <n v="0"/>
    <n v="34"/>
  </r>
  <r>
    <s v="19-17-0157"/>
    <n v="157"/>
    <d v="2019-05-15T00:00:00"/>
    <d v="2019-05-15T00:00:00"/>
    <s v="1 Día"/>
    <n v="26"/>
    <n v="1"/>
    <x v="17"/>
    <x v="0"/>
    <x v="4"/>
    <s v="Morelos "/>
    <n v="9"/>
    <x v="0"/>
    <s v="Coajomulco"/>
    <s v="Huetlatelicampa"/>
    <m/>
    <n v="19"/>
    <n v="3"/>
    <n v="35.28"/>
    <n v="99"/>
    <n v="11"/>
    <n v="24.07"/>
    <s v="N 19° 03' 35.28'' W 99° 11' 24.07''"/>
    <n v="2900"/>
    <n v="0"/>
    <n v="0"/>
    <n v="3.1"/>
    <n v="4"/>
    <n v="0"/>
    <n v="0"/>
    <n v="7.1"/>
    <n v="3264.67"/>
    <n v="20.79407643312102"/>
    <s v="Movil"/>
    <s v="Brigada Municipal"/>
    <x v="1"/>
    <x v="1"/>
    <s v="Comunal"/>
    <s v="Conservación "/>
    <d v="2019-05-15T08:05:00"/>
    <d v="2019-05-15T08:10:00"/>
    <d v="2019-05-15T08:15:00"/>
    <d v="2019-05-15T08:30:00"/>
    <d v="2019-05-15T08:35:00"/>
    <m/>
    <d v="2019-05-15T15:00:00"/>
    <d v="2019-05-15T17:00:00"/>
    <d v="2019-05-15T17:30:00"/>
    <d v="1899-12-30T08:55:00"/>
    <d v="1899-12-30T00:05:00"/>
    <d v="1899-12-30T00:20:00"/>
    <d v="1899-12-30T08:55:00"/>
    <n v="0.8"/>
    <n v="0.2"/>
    <n v="0"/>
    <n v="0"/>
    <n v="0.3"/>
    <n v="0"/>
    <n v="0"/>
    <n v="0"/>
    <n v="0"/>
    <s v="Agustin Diaz Hernandez"/>
    <n v="0"/>
    <n v="0"/>
    <n v="0"/>
    <n v="0"/>
    <n v="0"/>
    <n v="0"/>
    <n v="0"/>
    <n v="0"/>
    <s v="R-Coajomulco,Voluntarios"/>
    <n v="0"/>
    <n v="0"/>
    <n v="9"/>
    <n v="0"/>
    <n v="0"/>
    <n v="0"/>
    <n v="0"/>
    <n v="0"/>
    <n v="0"/>
    <n v="0"/>
    <n v="0"/>
    <n v="0"/>
    <n v="0"/>
    <n v="0"/>
    <n v="3"/>
    <n v="0"/>
    <n v="0"/>
    <n v="0"/>
    <n v="0"/>
    <n v="0"/>
    <n v="12"/>
    <n v="3742"/>
    <n v="9"/>
    <n v="3"/>
    <n v="0"/>
    <n v="2604"/>
    <n v="2604"/>
    <n v="57"/>
    <n v="2661"/>
    <s v="Sin dato"/>
    <s v="Sin dato"/>
    <s v="Sin dato"/>
    <s v="Sin dato"/>
    <s v="Superficial "/>
    <s v="Minimo"/>
    <s v="Bosque de Oyamel"/>
    <s v="BA"/>
    <s v="Corredor Biológico Chichinautzin "/>
    <s v="No aplica "/>
    <s v="CBC"/>
    <n v="0"/>
    <n v="0"/>
    <n v="3.1"/>
    <n v="4"/>
    <n v="0"/>
    <n v="0"/>
    <n v="7.1"/>
  </r>
  <r>
    <s v="19-17-0158"/>
    <n v="158"/>
    <d v="2019-05-20T00:00:00"/>
    <d v="2019-05-20T00:00:00"/>
    <s v="1 Día"/>
    <n v="27"/>
    <n v="1"/>
    <x v="17"/>
    <x v="6"/>
    <x v="4"/>
    <s v="Morelos "/>
    <n v="9"/>
    <x v="0"/>
    <s v="Huitzilac "/>
    <s v="km 76+200 de la 89"/>
    <s v="Norte "/>
    <n v="18"/>
    <n v="59"/>
    <n v="13.5"/>
    <n v="99"/>
    <n v="12"/>
    <n v="55.7"/>
    <s v="N 18° 59' 13.50'' W 99° 12' 55.70''"/>
    <n v="1989"/>
    <n v="0"/>
    <n v="0"/>
    <n v="0.5"/>
    <n v="0.4"/>
    <n v="0"/>
    <n v="0"/>
    <n v="0.9"/>
    <n v="3265.57"/>
    <n v="20.668164556962026"/>
    <s v="Fijo"/>
    <s v="CONAFOR"/>
    <x v="5"/>
    <x v="1"/>
    <s v="Comunal"/>
    <s v="Conservación "/>
    <d v="2019-05-20T17:10:00"/>
    <d v="2019-05-20T17:15:00"/>
    <d v="2019-05-20T17:20:00"/>
    <d v="2019-05-20T17:40:00"/>
    <d v="2019-05-20T17:45:00"/>
    <m/>
    <d v="2019-05-20T19:30:00"/>
    <d v="2019-05-20T20:30:00"/>
    <d v="2019-05-20T21:00:00"/>
    <d v="1899-12-30T03:20:00"/>
    <d v="1899-12-30T00:05:00"/>
    <d v="1899-12-30T00:25:00"/>
    <d v="1899-12-30T03:20:00"/>
    <n v="0"/>
    <n v="0.2"/>
    <n v="0"/>
    <n v="0"/>
    <n v="0"/>
    <n v="0"/>
    <n v="0"/>
    <n v="0"/>
    <n v="0"/>
    <s v="Margaito Rodriguez Rodriguez"/>
    <n v="0"/>
    <n v="1"/>
    <n v="1"/>
    <n v="0"/>
    <n v="0"/>
    <n v="0"/>
    <n v="0"/>
    <n v="0"/>
    <s v="Voluntarios"/>
    <n v="12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22"/>
    <n v="3764"/>
    <n v="12"/>
    <n v="10"/>
    <n v="4596"/>
    <n v="2170"/>
    <n v="6766"/>
    <n v="265.52999999999997"/>
    <n v="7031.53"/>
    <s v="Sin dato"/>
    <s v="Sin dato"/>
    <s v="Sin dato"/>
    <s v="Sin dato"/>
    <s v="Superficial "/>
    <s v="Minimo"/>
    <s v="Bosque de Encino - Pino"/>
    <s v="BQP"/>
    <s v="Corredor Biológico Chichinautzin "/>
    <s v="No aplica "/>
    <s v="CBC"/>
    <n v="0"/>
    <n v="0"/>
    <n v="0.5"/>
    <n v="0.4"/>
    <n v="0"/>
    <n v="0"/>
    <n v="0.9"/>
  </r>
  <r>
    <s v="19-17-0159"/>
    <n v="159"/>
    <d v="2019-05-21T00:00:00"/>
    <d v="2019-05-21T00:00:00"/>
    <s v="1 Día"/>
    <n v="28"/>
    <n v="1"/>
    <x v="17"/>
    <x v="4"/>
    <x v="4"/>
    <s v="Morelos "/>
    <n v="20"/>
    <x v="1"/>
    <s v="Santa Catarina "/>
    <s v="km 1 de la 89 a Cuautla"/>
    <s v="Sur19"/>
    <n v="19"/>
    <n v="0"/>
    <n v="32.75"/>
    <n v="99"/>
    <n v="10"/>
    <n v="8.57"/>
    <s v="N 19° 00' 32.75'' W 99° 10' 08.57''"/>
    <n v="2120"/>
    <n v="0"/>
    <n v="0"/>
    <n v="0"/>
    <n v="0.6"/>
    <n v="0"/>
    <n v="0"/>
    <n v="0.6"/>
    <n v="3266.17"/>
    <n v="20.541949685534593"/>
    <s v="Fijo"/>
    <s v="CONAFOR"/>
    <x v="2"/>
    <x v="6"/>
    <s v="Comunal"/>
    <s v="Conservación "/>
    <d v="2019-05-21T16:20:00"/>
    <d v="2019-05-21T16:25:00"/>
    <d v="2019-05-21T16:30:00"/>
    <d v="2019-05-21T16:50:00"/>
    <d v="2019-05-21T16:55:00"/>
    <m/>
    <d v="2019-05-21T17:20:00"/>
    <d v="2019-05-21T17:40:00"/>
    <d v="2019-05-21T18:00:00"/>
    <d v="1899-12-30T01:20:00"/>
    <d v="1899-12-30T00:05:00"/>
    <d v="1899-12-30T00:25:00"/>
    <d v="1899-12-30T01:20:00"/>
    <n v="0"/>
    <n v="0.05"/>
    <n v="0"/>
    <n v="0"/>
    <n v="0"/>
    <n v="0"/>
    <n v="0"/>
    <n v="0"/>
    <n v="0"/>
    <s v="Margaito Rodriguez Rodriguez"/>
    <n v="0"/>
    <n v="0"/>
    <n v="1"/>
    <n v="0"/>
    <n v="0"/>
    <n v="0"/>
    <n v="0"/>
    <n v="0"/>
    <m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71"/>
    <n v="7"/>
    <n v="0"/>
    <n v="2681"/>
    <n v="0"/>
    <n v="2681"/>
    <n v="161.25"/>
    <n v="2842.25"/>
    <s v="Sin dato"/>
    <s v="Sin dato"/>
    <s v="Sin dato"/>
    <s v="Sin dato"/>
    <s v="Superficial "/>
    <s v="Minimo"/>
    <s v="Bosque de Encino - Pino"/>
    <s v="BQP"/>
    <s v="Parque Nacional El Tepozteco "/>
    <s v="No aplica "/>
    <s v="PNT"/>
    <n v="0"/>
    <n v="0"/>
    <n v="0"/>
    <n v="0.6"/>
    <n v="0"/>
    <n v="0"/>
    <n v="0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9" firstHeaderRow="0" firstDataRow="1" firstDataCol="1"/>
  <pivotFields count="118">
    <pivotField showAll="0"/>
    <pivotField showAll="0"/>
    <pivotField numFmtId="16" showAll="0"/>
    <pivotField numFmtId="16" showAll="0"/>
    <pivotField showAll="0"/>
    <pivotField showAll="0"/>
    <pivotField dataField="1" showAll="0"/>
    <pivotField numFmtId="1" showAll="0"/>
    <pivotField showAll="0"/>
    <pivotField showAll="0"/>
    <pivotField showAll="0"/>
    <pivotField showAll="0"/>
    <pivotField axis="axisRow" showAll="0" sortType="descending">
      <items count="25">
        <item m="1" x="16"/>
        <item m="1" x="20"/>
        <item m="1" x="15"/>
        <item x="5"/>
        <item m="1" x="18"/>
        <item x="0"/>
        <item x="9"/>
        <item x="7"/>
        <item x="6"/>
        <item x="10"/>
        <item m="1" x="23"/>
        <item m="1" x="19"/>
        <item x="1"/>
        <item m="1" x="21"/>
        <item m="1" x="22"/>
        <item x="2"/>
        <item m="1" x="17"/>
        <item x="8"/>
        <item x="13"/>
        <item x="4"/>
        <item x="11"/>
        <item x="3"/>
        <item x="14"/>
        <item x="1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numFmtId="1" showAll="0"/>
    <pivotField numFmtId="1" showAll="0"/>
    <pivotField numFmtId="2" showAll="0"/>
    <pivotField numFmtId="1" showAll="0"/>
    <pivotField numFmtId="1" showAll="0"/>
    <pivotField numFmtId="2" showAll="0"/>
    <pivotField showAll="0"/>
    <pivotField numFmtId="3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dataField="1" numFmtId="4" showAll="0"/>
    <pivotField numFmtId="2"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6" showAll="0"/>
    <pivotField numFmtId="20" showAll="0"/>
    <pivotField numFmtId="20" showAll="0"/>
    <pivotField numFmtId="4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16">
    <i>
      <x v="15"/>
    </i>
    <i>
      <x v="12"/>
    </i>
    <i>
      <x v="5"/>
    </i>
    <i>
      <x v="3"/>
    </i>
    <i>
      <x v="18"/>
    </i>
    <i>
      <x v="9"/>
    </i>
    <i>
      <x v="21"/>
    </i>
    <i>
      <x v="19"/>
    </i>
    <i>
      <x v="8"/>
    </i>
    <i>
      <x v="17"/>
    </i>
    <i>
      <x v="7"/>
    </i>
    <i>
      <x v="6"/>
    </i>
    <i>
      <x v="20"/>
    </i>
    <i>
      <x v="23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# Incendio en el Dia" fld="6" baseField="0" baseItem="0"/>
    <dataField name="Suma de Superficie Afectada (HA)" fld="3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1" rowHeaderCaption="Día de la semana">
  <location ref="A3:C11" firstHeaderRow="0" firstDataRow="1" firstDataCol="1"/>
  <pivotFields count="118">
    <pivotField dataField="1" showAll="0"/>
    <pivotField showAll="0" defaultSubtotal="0"/>
    <pivotField numFmtId="16" showAll="0"/>
    <pivotField numFmtId="16" showAll="0"/>
    <pivotField numFmtId="1" showAll="0"/>
    <pivotField showAll="0"/>
    <pivotField showAll="0"/>
    <pivotField numFmtId="1" showAll="0"/>
    <pivotField axis="axisRow" showAll="0">
      <items count="9">
        <item x="5"/>
        <item x="6"/>
        <item x="4"/>
        <item x="0"/>
        <item x="2"/>
        <item x="1"/>
        <item x="3"/>
        <item m="1" x="7"/>
        <item t="default"/>
      </items>
    </pivotField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numFmtId="1" showAll="0"/>
    <pivotField numFmtId="1" showAll="0"/>
    <pivotField numFmtId="2" showAll="0"/>
    <pivotField numFmtId="1" showAll="0"/>
    <pivotField numFmtId="1" showAll="0"/>
    <pivotField numFmtId="2" showAll="0"/>
    <pivotField showAll="0"/>
    <pivotField numFmtId="3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165" showAll="0"/>
    <pivotField numFmtId="2" showAll="0"/>
    <pivotField numFmtId="2" showAll="0"/>
    <pivotField showAll="0"/>
    <pivotField showAll="0"/>
    <pivotField showAll="0"/>
    <pivotField showAll="0"/>
    <pivotField showAll="0"/>
    <pivotField showAll="0" defaultSubtotal="0"/>
    <pivotField numFmtId="20" showAll="0"/>
    <pivotField numFmtId="20" showAll="0"/>
    <pivotField showAll="0" defaultSubtotal="0"/>
    <pivotField numFmtId="20" showAll="0"/>
    <pivotField numFmtId="20" showAll="0"/>
    <pivotField showAll="0"/>
    <pivotField numFmtId="20" showAll="0"/>
    <pivotField numFmtId="20" showAll="0"/>
    <pivotField showAll="0" defaultSubtotal="0"/>
    <pivotField numFmtId="20" showAll="0"/>
    <pivotField numFmtId="20" showAll="0"/>
    <pivotField numFmtId="20" showAll="0"/>
    <pivotField numFmtId="2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numFmtId="164" showAll="0" defaultSubtotal="0"/>
    <pivotField numFmtId="164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#Incendios" fld="0" subtotal="count" baseField="0" baseItem="0"/>
    <dataField name="Superficie Afectada (HA)." fld="30" baseField="7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2" rowHeaderCaption="Mes">
  <location ref="A3:C9" firstHeaderRow="0" firstDataRow="1" firstDataCol="1"/>
  <pivotFields count="118">
    <pivotField dataField="1" showAll="0"/>
    <pivotField showAll="0" defaultSubtotal="0"/>
    <pivotField numFmtId="16" showAll="0"/>
    <pivotField numFmtId="16" showAll="0"/>
    <pivotField numFmtId="1" showAll="0"/>
    <pivotField showAll="0"/>
    <pivotField showAll="0"/>
    <pivotField numFmtId="1" showAll="0"/>
    <pivotField showAll="0"/>
    <pivotField axis="axisRow" showAll="0">
      <items count="10">
        <item x="0"/>
        <item x="1"/>
        <item x="2"/>
        <item x="3"/>
        <item x="4"/>
        <item m="1" x="7"/>
        <item m="1" x="5"/>
        <item m="1" x="8"/>
        <item m="1" x="6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numFmtId="1" showAll="0"/>
    <pivotField numFmtId="1" showAll="0"/>
    <pivotField numFmtId="2" showAll="0"/>
    <pivotField numFmtId="1" showAll="0"/>
    <pivotField numFmtId="1" showAll="0"/>
    <pivotField numFmtId="2" showAll="0"/>
    <pivotField showAll="0"/>
    <pivotField numFmtId="3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165" showAll="0"/>
    <pivotField numFmtId="2" showAll="0"/>
    <pivotField numFmtId="2" showAll="0"/>
    <pivotField showAll="0"/>
    <pivotField showAll="0"/>
    <pivotField showAll="0"/>
    <pivotField showAll="0"/>
    <pivotField showAll="0"/>
    <pivotField showAll="0" defaultSubtotal="0"/>
    <pivotField numFmtId="20" showAll="0"/>
    <pivotField numFmtId="20" showAll="0"/>
    <pivotField showAll="0" defaultSubtotal="0"/>
    <pivotField numFmtId="20" showAll="0"/>
    <pivotField numFmtId="20" showAll="0"/>
    <pivotField showAll="0"/>
    <pivotField numFmtId="20" showAll="0"/>
    <pivotField numFmtId="20" showAll="0"/>
    <pivotField showAll="0" defaultSubtotal="0"/>
    <pivotField numFmtId="20" showAll="0"/>
    <pivotField numFmtId="20" showAll="0"/>
    <pivotField numFmtId="20" showAll="0"/>
    <pivotField numFmtId="2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numFmtId="164" showAll="0" defaultSubtotal="0"/>
    <pivotField numFmtId="164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9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#Incendios" fld="0" subtotal="count" baseField="0" baseItem="0"/>
    <dataField name="Superficie Afectada (HA)." fld="30" baseField="7" baseItem="0"/>
  </dataFields>
  <chartFormats count="4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3" rowHeaderCaption="Semana del año">
  <location ref="A3:C23" firstHeaderRow="0" firstDataRow="1" firstDataCol="1"/>
  <pivotFields count="118">
    <pivotField dataField="1" showAll="0"/>
    <pivotField showAll="0" defaultSubtotal="0"/>
    <pivotField numFmtId="16" showAll="0"/>
    <pivotField numFmtId="16" showAll="0"/>
    <pivotField numFmtId="1" showAll="0"/>
    <pivotField showAll="0"/>
    <pivotField showAll="0"/>
    <pivotField axis="axisRow" numFmtId="1" showAll="0">
      <items count="31">
        <item m="1" x="24"/>
        <item x="3"/>
        <item m="1" x="29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20"/>
        <item m="1" x="28"/>
        <item m="1" x="21"/>
        <item x="0"/>
        <item m="1" x="22"/>
        <item m="1" x="26"/>
        <item m="1" x="27"/>
        <item m="1" x="19"/>
        <item m="1" x="23"/>
        <item m="1" x="25"/>
        <item x="18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numFmtId="1" showAll="0"/>
    <pivotField numFmtId="1" showAll="0"/>
    <pivotField numFmtId="2" showAll="0"/>
    <pivotField numFmtId="1" showAll="0"/>
    <pivotField numFmtId="1" showAll="0"/>
    <pivotField numFmtId="2" showAll="0"/>
    <pivotField showAll="0"/>
    <pivotField numFmtId="3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165" showAll="0"/>
    <pivotField numFmtId="2" showAll="0"/>
    <pivotField numFmtId="2" showAll="0"/>
    <pivotField showAll="0"/>
    <pivotField showAll="0"/>
    <pivotField showAll="0"/>
    <pivotField showAll="0"/>
    <pivotField showAll="0"/>
    <pivotField showAll="0" defaultSubtotal="0"/>
    <pivotField numFmtId="20" showAll="0"/>
    <pivotField numFmtId="20" showAll="0"/>
    <pivotField showAll="0" defaultSubtotal="0"/>
    <pivotField numFmtId="20" showAll="0"/>
    <pivotField numFmtId="20" showAll="0"/>
    <pivotField showAll="0"/>
    <pivotField numFmtId="20" showAll="0"/>
    <pivotField numFmtId="20" showAll="0"/>
    <pivotField showAll="0" defaultSubtotal="0"/>
    <pivotField numFmtId="20" showAll="0"/>
    <pivotField numFmtId="20" showAll="0"/>
    <pivotField numFmtId="20" showAll="0"/>
    <pivotField numFmtId="2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numFmtId="164" showAll="0" defaultSubtotal="0"/>
    <pivotField numFmtId="164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7"/>
  </rowFields>
  <rowItems count="20"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#Incendios" fld="0" subtotal="count" baseField="0" baseItem="0"/>
    <dataField name="Superficie Afectada (HA)." fld="30" baseField="7" baseItem="0"/>
  </dataFields>
  <chartFormats count="6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4" rowHeaderCaption="Municipio">
  <location ref="A3:C19" firstHeaderRow="0" firstDataRow="1" firstDataCol="1"/>
  <pivotFields count="118">
    <pivotField dataField="1" showAll="0"/>
    <pivotField showAll="0" defaultSubtotal="0"/>
    <pivotField numFmtId="16" showAll="0"/>
    <pivotField numFmtId="16" showAll="0"/>
    <pivotField numFmtId="1" showAll="0"/>
    <pivotField showAll="0"/>
    <pivotField showAll="0"/>
    <pivotField numFmtId="1" showAll="0"/>
    <pivotField showAll="0"/>
    <pivotField showAll="0"/>
    <pivotField showAll="0"/>
    <pivotField showAll="0" defaultSubtotal="0"/>
    <pivotField axis="axisRow" showAll="0" defaultSubtotal="0">
      <items count="24">
        <item m="1" x="15"/>
        <item m="1" x="18"/>
        <item x="10"/>
        <item m="1" x="19"/>
        <item m="1" x="21"/>
        <item x="2"/>
        <item x="4"/>
        <item x="14"/>
        <item m="1" x="23"/>
        <item x="13"/>
        <item m="1" x="20"/>
        <item m="1" x="16"/>
        <item m="1" x="22"/>
        <item m="1" x="17"/>
        <item x="0"/>
        <item x="1"/>
        <item x="3"/>
        <item x="5"/>
        <item x="6"/>
        <item x="7"/>
        <item x="8"/>
        <item x="9"/>
        <item x="11"/>
        <item x="12"/>
      </items>
    </pivotField>
    <pivotField showAll="0" defaultSubtotal="0"/>
    <pivotField showAll="0" defaultSubtotal="0"/>
    <pivotField showAll="0"/>
    <pivotField numFmtId="1" showAll="0"/>
    <pivotField numFmtId="1" showAll="0"/>
    <pivotField numFmtId="2" showAll="0"/>
    <pivotField numFmtId="1" showAll="0"/>
    <pivotField numFmtId="1" showAll="0"/>
    <pivotField numFmtId="2" showAll="0"/>
    <pivotField showAll="0"/>
    <pivotField numFmtId="3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165" showAll="0"/>
    <pivotField numFmtId="2" showAll="0"/>
    <pivotField numFmtId="2" showAll="0"/>
    <pivotField showAll="0"/>
    <pivotField showAll="0"/>
    <pivotField showAll="0"/>
    <pivotField showAll="0"/>
    <pivotField showAll="0"/>
    <pivotField showAll="0" defaultSubtotal="0"/>
    <pivotField numFmtId="20" showAll="0"/>
    <pivotField numFmtId="20" showAll="0"/>
    <pivotField showAll="0" defaultSubtotal="0"/>
    <pivotField numFmtId="20" showAll="0"/>
    <pivotField numFmtId="20" showAll="0"/>
    <pivotField showAll="0"/>
    <pivotField numFmtId="20" showAll="0"/>
    <pivotField numFmtId="20" showAll="0"/>
    <pivotField showAll="0" defaultSubtotal="0"/>
    <pivotField numFmtId="20" showAll="0"/>
    <pivotField numFmtId="20" showAll="0"/>
    <pivotField numFmtId="20" showAll="0"/>
    <pivotField numFmtId="2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numFmtId="164" showAll="0" defaultSubtotal="0"/>
    <pivotField numFmtId="164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2"/>
  </rowFields>
  <rowItems count="16">
    <i>
      <x v="2"/>
    </i>
    <i>
      <x v="5"/>
    </i>
    <i>
      <x v="6"/>
    </i>
    <i>
      <x v="7"/>
    </i>
    <i>
      <x v="9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#Incendios" fld="0" subtotal="count" baseField="0" baseItem="0"/>
    <dataField name="Superficie Afectada (HA)." fld="30" baseField="7" baseItem="0"/>
  </dataFields>
  <chartFormats count="8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5" rowHeaderCaption="Predio">
  <location ref="A3:B4" firstHeaderRow="0" firstDataRow="1" firstDataCol="0"/>
  <pivotFields count="118">
    <pivotField dataField="1" showAll="0"/>
    <pivotField showAll="0" defaultSubtotal="0"/>
    <pivotField numFmtId="16" showAll="0"/>
    <pivotField numFmtId="16" showAll="0"/>
    <pivotField numFmtId="1" showAll="0"/>
    <pivotField showAll="0"/>
    <pivotField showAll="0"/>
    <pivotField numFmtId="1"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numFmtId="1" showAll="0"/>
    <pivotField numFmtId="1" showAll="0"/>
    <pivotField numFmtId="2" showAll="0"/>
    <pivotField numFmtId="1" showAll="0"/>
    <pivotField numFmtId="1" showAll="0"/>
    <pivotField numFmtId="2" showAll="0"/>
    <pivotField showAll="0"/>
    <pivotField numFmtId="3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165" showAll="0"/>
    <pivotField numFmtId="2" showAll="0"/>
    <pivotField numFmtId="2" showAll="0"/>
    <pivotField showAll="0"/>
    <pivotField showAll="0"/>
    <pivotField showAll="0"/>
    <pivotField showAll="0"/>
    <pivotField showAll="0"/>
    <pivotField showAll="0" defaultSubtotal="0"/>
    <pivotField numFmtId="20" showAll="0"/>
    <pivotField numFmtId="20" showAll="0"/>
    <pivotField showAll="0" defaultSubtotal="0"/>
    <pivotField numFmtId="20" showAll="0"/>
    <pivotField numFmtId="20" showAll="0"/>
    <pivotField showAll="0"/>
    <pivotField numFmtId="20" showAll="0"/>
    <pivotField numFmtId="20" showAll="0"/>
    <pivotField showAll="0" defaultSubtotal="0"/>
    <pivotField numFmtId="20" showAll="0"/>
    <pivotField numFmtId="20" showAll="0"/>
    <pivotField numFmtId="20" showAll="0"/>
    <pivotField numFmtId="2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numFmtId="164" showAll="0" defaultSubtotal="0"/>
    <pivotField numFmtId="164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#Incendios" fld="0" subtotal="count" baseField="0" baseItem="0"/>
    <dataField name="Superficie Afectada (HA)." fld="30" baseField="7" baseItem="0"/>
  </dataFields>
  <chartFormats count="10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6" rowHeaderCaption="Causas">
  <location ref="A3:C28" firstHeaderRow="0" firstDataRow="1" firstDataCol="1"/>
  <pivotFields count="118">
    <pivotField dataField="1" showAll="0"/>
    <pivotField showAll="0" defaultSubtotal="0"/>
    <pivotField numFmtId="16" showAll="0"/>
    <pivotField numFmtId="16" showAll="0"/>
    <pivotField numFmtId="1" showAll="0"/>
    <pivotField showAll="0"/>
    <pivotField showAll="0"/>
    <pivotField numFmtId="1"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numFmtId="1" showAll="0"/>
    <pivotField numFmtId="1" showAll="0"/>
    <pivotField numFmtId="2" showAll="0"/>
    <pivotField numFmtId="1" showAll="0"/>
    <pivotField numFmtId="1" showAll="0"/>
    <pivotField numFmtId="2" showAll="0"/>
    <pivotField showAll="0"/>
    <pivotField numFmtId="3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165" showAll="0"/>
    <pivotField numFmtId="2" showAll="0"/>
    <pivotField numFmtId="2" showAll="0"/>
    <pivotField showAll="0"/>
    <pivotField showAll="0"/>
    <pivotField axis="axisRow" showAll="0">
      <items count="22">
        <item m="1" x="13"/>
        <item m="1" x="18"/>
        <item x="2"/>
        <item m="1" x="17"/>
        <item m="1" x="14"/>
        <item m="1" x="10"/>
        <item m="1" x="20"/>
        <item x="9"/>
        <item m="1" x="11"/>
        <item m="1" x="15"/>
        <item x="7"/>
        <item x="8"/>
        <item m="1" x="19"/>
        <item m="1" x="12"/>
        <item m="1" x="16"/>
        <item x="0"/>
        <item x="3"/>
        <item x="4"/>
        <item x="1"/>
        <item x="5"/>
        <item x="6"/>
        <item t="default"/>
      </items>
    </pivotField>
    <pivotField axis="axisRow" showAll="0">
      <items count="37">
        <item x="2"/>
        <item m="1" x="13"/>
        <item m="1" x="22"/>
        <item x="3"/>
        <item m="1" x="24"/>
        <item m="1" x="35"/>
        <item x="4"/>
        <item x="6"/>
        <item m="1" x="34"/>
        <item m="1" x="26"/>
        <item x="9"/>
        <item m="1" x="28"/>
        <item m="1" x="21"/>
        <item m="1" x="17"/>
        <item m="1" x="33"/>
        <item x="8"/>
        <item m="1" x="23"/>
        <item m="1" x="20"/>
        <item m="1" x="29"/>
        <item m="1" x="30"/>
        <item m="1" x="32"/>
        <item m="1" x="14"/>
        <item m="1" x="18"/>
        <item m="1" x="27"/>
        <item m="1" x="31"/>
        <item m="1" x="12"/>
        <item m="1" x="25"/>
        <item m="1" x="11"/>
        <item m="1" x="19"/>
        <item m="1" x="16"/>
        <item m="1" x="15"/>
        <item x="0"/>
        <item x="1"/>
        <item x="5"/>
        <item x="7"/>
        <item x="10"/>
        <item t="default"/>
      </items>
    </pivotField>
    <pivotField showAll="0"/>
    <pivotField showAll="0" defaultSubtotal="0"/>
    <pivotField numFmtId="20" showAll="0"/>
    <pivotField numFmtId="20" showAll="0"/>
    <pivotField showAll="0" defaultSubtotal="0"/>
    <pivotField numFmtId="20" showAll="0"/>
    <pivotField numFmtId="20" showAll="0"/>
    <pivotField showAll="0"/>
    <pivotField numFmtId="20" showAll="0"/>
    <pivotField numFmtId="20" showAll="0"/>
    <pivotField showAll="0" defaultSubtotal="0"/>
    <pivotField numFmtId="20" showAll="0"/>
    <pivotField numFmtId="20" showAll="0"/>
    <pivotField numFmtId="20" showAll="0"/>
    <pivotField numFmtId="2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/>
    <pivotField showAll="0"/>
    <pivotField numFmtId="164" showAll="0" defaultSubtotal="0"/>
    <pivotField numFmtId="164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35"/>
    <field x="36"/>
  </rowFields>
  <rowItems count="25">
    <i>
      <x v="2"/>
    </i>
    <i r="1">
      <x/>
    </i>
    <i r="1">
      <x v="7"/>
    </i>
    <i>
      <x v="7"/>
    </i>
    <i r="1">
      <x v="10"/>
    </i>
    <i>
      <x v="10"/>
    </i>
    <i r="1">
      <x v="15"/>
    </i>
    <i>
      <x v="11"/>
    </i>
    <i r="1">
      <x v="32"/>
    </i>
    <i>
      <x v="15"/>
    </i>
    <i r="1">
      <x v="31"/>
    </i>
    <i r="1">
      <x v="35"/>
    </i>
    <i>
      <x v="16"/>
    </i>
    <i r="1">
      <x v="3"/>
    </i>
    <i r="1">
      <x v="6"/>
    </i>
    <i r="1">
      <x v="33"/>
    </i>
    <i>
      <x v="17"/>
    </i>
    <i r="1">
      <x v="34"/>
    </i>
    <i>
      <x v="18"/>
    </i>
    <i r="1">
      <x v="32"/>
    </i>
    <i>
      <x v="19"/>
    </i>
    <i r="1">
      <x v="32"/>
    </i>
    <i>
      <x v="20"/>
    </i>
    <i r="1"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#Incendios" fld="0" subtotal="count" baseField="0" baseItem="0"/>
    <dataField name="Superficie Afectada (HA)." fld="30" baseField="7" baseItem="0"/>
  </dataFields>
  <formats count="5">
    <format dxfId="12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8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Sabana2016" displayName="tbSabana2016" ref="A4:DN164" totalsRowCount="1" headerRowDxfId="221" dataDxfId="220" tableBorderDxfId="219">
  <autoFilter ref="A4:DN163"/>
  <tableColumns count="118">
    <tableColumn id="1" name="Clave del Incendio" totalsRowFunction="count" dataDxfId="218" totalsRowDxfId="117"/>
    <tableColumn id="80" name="Incendio en el AÑO" dataDxfId="217" totalsRowDxfId="116"/>
    <tableColumn id="5" name="Fecha de Inicio" totalsRowFunction="min" dataDxfId="216" totalsRowDxfId="115"/>
    <tableColumn id="7" name="Fecha de Término" totalsRowFunction="max" dataDxfId="215" totalsRowDxfId="114"/>
    <tableColumn id="74" name="Categoría del Incendio por Duración (días)" dataDxfId="214" totalsRowDxfId="113">
      <calculatedColumnFormula>IF(tbSabana2016[[#This Row],[Fecha de Término]]-tbSabana2016[[#This Row],[Fecha de Inicio]]+1&gt;0,IF(tbSabana2016[[#This Row],[Fecha de Término]]-tbSabana2016[[#This Row],[Fecha de Inicio]]+1=1,"1 Día","2 o más Días"),"XX")</calculatedColumnFormula>
    </tableColumn>
    <tableColumn id="3" name="# Incendio en el Mes" dataDxfId="213" totalsRowDxfId="112"/>
    <tableColumn id="4" name="# Incendio en el Dia" dataDxfId="212" totalsRowDxfId="111"/>
    <tableColumn id="73" name="Semana del Año" dataDxfId="211" totalsRowDxfId="110"/>
    <tableColumn id="6" name="Día de la Semana" dataDxfId="210" totalsRowDxfId="109">
      <calculatedColumnFormula>TEXT(tbSabana2016[[#This Row],[Fecha de Inicio]],"dddd")</calculatedColumnFormula>
    </tableColumn>
    <tableColumn id="2" name="Mes" dataDxfId="209" totalsRowDxfId="108">
      <calculatedColumnFormula>TEXT(tbSabana2016[[#This Row],[Fecha de Inicio]],"mmmm")</calculatedColumnFormula>
    </tableColumn>
    <tableColumn id="8" name="Entidad Federativa" dataDxfId="208" totalsRowDxfId="107"/>
    <tableColumn id="35" name="Clave de Municipio" totalsRowFunction="sum" dataDxfId="207" totalsRowDxfId="106"/>
    <tableColumn id="9" name="Municipio (s)" dataDxfId="206" totalsRowDxfId="105"/>
    <tableColumn id="10" name="Predio (s)" dataDxfId="205" totalsRowDxfId="104"/>
    <tableColumn id="11" name="Paraje (s)" dataDxfId="204" totalsRowDxfId="103"/>
    <tableColumn id="12" name="Orientación Geográfica" dataDxfId="203" totalsRowDxfId="102"/>
    <tableColumn id="32" name="Lat_x000a_ ( ° )" totalsRowFunction="sum" dataDxfId="202" totalsRowDxfId="101"/>
    <tableColumn id="33" name="Lat_x000a_ ( ' )" totalsRowFunction="sum" dataDxfId="201" totalsRowDxfId="100"/>
    <tableColumn id="34" name="Lat_x000a_ ( &quot; )" totalsRowFunction="sum" dataDxfId="200" totalsRowDxfId="99"/>
    <tableColumn id="76" name="Long_x000a_ ( ° )" totalsRowFunction="sum" dataDxfId="199" totalsRowDxfId="98"/>
    <tableColumn id="77" name="Long_x000a_ ( ' )" totalsRowFunction="sum" dataDxfId="198" totalsRowDxfId="97"/>
    <tableColumn id="78" name="Long_x000a_ ( &quot; )" totalsRowFunction="sum" dataDxfId="197" totalsRowDxfId="96"/>
    <tableColumn id="79" name="Coordenadas Geográficas" dataDxfId="196" totalsRowDxfId="95">
      <calculatedColumnFormula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calculatedColumnFormula>
    </tableColumn>
    <tableColumn id="15" name="a.s.n.m." totalsRowFunction="sum" dataDxfId="195" totalsRowDxfId="94"/>
    <tableColumn id="63" name="Arbolado Adulto (HA)" totalsRowFunction="sum" dataDxfId="194" totalsRowDxfId="93"/>
    <tableColumn id="64" name="Renuevo (HA)" totalsRowFunction="sum" dataDxfId="193" totalsRowDxfId="92"/>
    <tableColumn id="62" name="Arbustivo (HA)" totalsRowFunction="sum" dataDxfId="192" totalsRowDxfId="91"/>
    <tableColumn id="61" name="Herbáceo (HA)" totalsRowFunction="sum" dataDxfId="191" totalsRowDxfId="90"/>
    <tableColumn id="59" name="Hojarasca (HA)" totalsRowFunction="sum" dataDxfId="190" totalsRowDxfId="89"/>
    <tableColumn id="60" name="Suelo Orgánico (HA)" totalsRowFunction="sum" dataDxfId="189" totalsRowDxfId="88"/>
    <tableColumn id="65" name="Superficie Afectada (HA)" totalsRowFunction="sum" dataDxfId="188" totalsRowDxfId="87">
      <calculatedColumnFormula>SUM(tbSabana2016[[#This Row],[Arbolado Adulto (HA)]:[Suelo Orgánico (HA)]])</calculatedColumnFormula>
    </tableColumn>
    <tableColumn id="66" name="Acumulado (HA)" dataDxfId="187" totalsRowDxfId="86">
      <calculatedColumnFormula>SUM(AF4,AE5)</calculatedColumnFormula>
    </tableColumn>
    <tableColumn id="67" name="Superficie Promedio por Incendio (HA)" dataDxfId="186" totalsRowDxfId="85">
      <calculatedColumnFormula>tbSabana2016[[#This Row],[Acumulado (HA)]]/tbSabana2016[[#This Row],[Incendio en el AÑO]]</calculatedColumnFormula>
    </tableColumn>
    <tableColumn id="16" name="Medio de Detección" dataDxfId="185" totalsRowDxfId="84"/>
    <tableColumn id="17" name="Nombre Medio de Detección" dataDxfId="184" totalsRowDxfId="83"/>
    <tableColumn id="18" name="Causa" dataDxfId="183" totalsRowDxfId="82"/>
    <tableColumn id="19" name="Causa Específica" dataDxfId="182" totalsRowDxfId="81"/>
    <tableColumn id="20" name="Tipo  de Propiedad" dataDxfId="181" totalsRowDxfId="80"/>
    <tableColumn id="111" name="Actividad Forestal Principal del Predio" dataDxfId="180" totalsRowDxfId="79"/>
    <tableColumn id="21" name="Inicio de Incendio" dataDxfId="179" totalsRowDxfId="78"/>
    <tableColumn id="22" name="Detección" dataDxfId="178" totalsRowDxfId="77"/>
    <tableColumn id="96" name="Salida Base" dataDxfId="177" totalsRowDxfId="76"/>
    <tableColumn id="23" name="Llegada" dataDxfId="176" totalsRowDxfId="75"/>
    <tableColumn id="24" name="Ataque Inicial" dataDxfId="175" totalsRowDxfId="74"/>
    <tableColumn id="25" name="Inicio de Ataque Ampliado" dataDxfId="174" totalsRowDxfId="73"/>
    <tableColumn id="26" name="Control" dataDxfId="173" totalsRowDxfId="72"/>
    <tableColumn id="27" name="Liquidación" dataDxfId="172" totalsRowDxfId="71"/>
    <tableColumn id="99" name="Llegada a base " dataDxfId="171" totalsRowDxfId="70"/>
    <tableColumn id="28" name="Duración" totalsRowFunction="average" dataDxfId="170" totalsRowDxfId="69"/>
    <tableColumn id="29" name="I. Detección " totalsRowFunction="average" dataDxfId="169" totalsRowDxfId="68"/>
    <tableColumn id="30" name="I. Llegada " totalsRowFunction="average" dataDxfId="168" totalsRowDxfId="67"/>
    <tableColumn id="31" name="I. Duración" totalsRowFunction="average" dataDxfId="167" totalsRowDxfId="66">
      <calculatedColumnFormula>SUM(tbSabana2016[[#This Row],[Duración]])</calculatedColumnFormula>
    </tableColumn>
    <tableColumn id="36" name="Ataque Directo (KM)" totalsRowFunction="sum" dataDxfId="166" totalsRowDxfId="65"/>
    <tableColumn id="86" name="Apertura de Brecha Cortafuego (KM)" totalsRowFunction="sum" dataDxfId="165" totalsRowDxfId="64"/>
    <tableColumn id="85" name="Rehabilitación de Brecha Cortafuego (KM)" totalsRowFunction="sum" dataDxfId="164" totalsRowDxfId="63"/>
    <tableColumn id="109" name="Quema de Ensenche (KM)" totalsRowFunction="sum" dataDxfId="163" totalsRowDxfId="62"/>
    <tableColumn id="37" name="Contrafuegos                      (KM)" totalsRowFunction="sum" dataDxfId="162" totalsRowDxfId="61"/>
    <tableColumn id="88" name="Tendido de Manguera (KM)" totalsRowFunction="sum" dataDxfId="161" totalsRowDxfId="60"/>
    <tableColumn id="87" name="Sofocación (KM)" totalsRowFunction="sum" dataDxfId="160" totalsRowDxfId="59"/>
    <tableColumn id="90" name="Liquidación (KM)" totalsRowFunction="sum" dataDxfId="159" totalsRowDxfId="58"/>
    <tableColumn id="89" name="Líneas Negras (KM)" totalsRowFunction="sum" dataDxfId="158" totalsRowDxfId="57"/>
    <tableColumn id="39" name="Jefe de Incidente" dataDxfId="157" totalsRowDxfId="56"/>
    <tableColumn id="117" name="31" dataDxfId="156" totalsRowDxfId="55"/>
    <tableColumn id="116" name="32" dataDxfId="155" totalsRowDxfId="54"/>
    <tableColumn id="115" name="33" dataDxfId="154" totalsRowDxfId="53"/>
    <tableColumn id="110" name="34" dataDxfId="153" totalsRowDxfId="52"/>
    <tableColumn id="38" name="10" dataDxfId="152" totalsRowDxfId="51"/>
    <tableColumn id="119" name="9" dataDxfId="151" totalsRowDxfId="50"/>
    <tableColumn id="118" name="8" dataDxfId="150" totalsRowDxfId="49"/>
    <tableColumn id="81" name="7" dataDxfId="149" totalsRowDxfId="48"/>
    <tableColumn id="40" name="Otros Recursos" dataDxfId="148" totalsRowDxfId="47"/>
    <tableColumn id="41" name="CONAFOR (Oficiales)" totalsRowFunction="sum" dataDxfId="147" totalsRowDxfId="46"/>
    <tableColumn id="13" name="CONAFOR (Brigada Rurales Estatales)" totalsRowFunction="sum" dataDxfId="146" totalsRowDxfId="45"/>
    <tableColumn id="82" name="CONAFOR (Brigadas Rurales Municipales)" totalsRowFunction="sum" dataDxfId="145" totalsRowDxfId="44"/>
    <tableColumn id="42" name="CONAFOR (Servicios Ambientales)" totalsRowFunction="sum" dataDxfId="144" totalsRowDxfId="43"/>
    <tableColumn id="112" name="CONAFOR (Subcontratados)" totalsRowFunction="sum" dataDxfId="143" totalsRowDxfId="42"/>
    <tableColumn id="43" name="CONANP (Oficiales)" totalsRowFunction="sum" dataDxfId="142" totalsRowDxfId="41"/>
    <tableColumn id="91" name="CONANP (Servicios Externos)" totalsRowFunction="sum" dataDxfId="141" totalsRowDxfId="40"/>
    <tableColumn id="44" name="SEDENA" totalsRowFunction="sum" dataDxfId="140" totalsRowDxfId="39"/>
    <tableColumn id="95" name="SEMAR" totalsRowFunction="sum" dataDxfId="139" totalsRowDxfId="38"/>
    <tableColumn id="94" name="Otras Dependencias Federales" totalsRowFunction="sum" dataDxfId="138" totalsRowDxfId="37"/>
    <tableColumn id="93" name="Estatal (Gobierno del Estado)" totalsRowFunction="sum" dataDxfId="137" totalsRowDxfId="36"/>
    <tableColumn id="92" name="Estatal (Protección Civil)" totalsRowFunction="sum" totalsRowDxfId="35"/>
    <tableColumn id="97" name="Municipales (Gobierno del Municipio)" totalsRowFunction="sum" totalsRowDxfId="34"/>
    <tableColumn id="45" name="Municipales (Protección Civil)" totalsRowFunction="sum" totalsRowDxfId="33"/>
    <tableColumn id="46" name="Voluntarios" totalsRowFunction="sum" totalsRowDxfId="32"/>
    <tableColumn id="47" name="Propietarios y Poseedores de Terrenos Forestales" totalsRowFunction="sum" totalsRowDxfId="31"/>
    <tableColumn id="48" name="ONG´s" totalsRowFunction="sum" totalsRowDxfId="30"/>
    <tableColumn id="114" name="Asociación de Silvicultores" totalsRowFunction="sum" dataDxfId="136" totalsRowDxfId="29"/>
    <tableColumn id="113" name="Sector Privado" totalsRowFunction="sum" dataDxfId="135" totalsRowDxfId="28"/>
    <tableColumn id="49" name="Autirización de Aprovechamiento Forestal" totalsRowFunction="sum" totalsRowDxfId="27"/>
    <tableColumn id="50" name="Total (Oficiales)" totalsRowFunction="sum" dataDxfId="134" totalsRowDxfId="26">
      <calculatedColumnFormula>SUM(BT5:CM5)</calculatedColumnFormula>
    </tableColumn>
    <tableColumn id="51" name="Acumulado" totalsRowDxfId="25"/>
    <tableColumn id="84" name="Oficiales " totalsRowFunction="sum" totalsRowDxfId="24">
      <calculatedColumnFormula>SUM(BT5:CG5,CI5:CM5)</calculatedColumnFormula>
    </tableColumn>
    <tableColumn id="83" name="Voluntarios " totalsRowFunction="sum" totalsRowDxfId="23">
      <calculatedColumnFormula>SUM(tbSabana2016[[#This Row],[Voluntarios]])</calculatedColumnFormula>
    </tableColumn>
    <tableColumn id="52" name="Costo CONAFOR" totalsRowFunction="sum" totalsRowDxfId="22">
      <calculatedColumnFormula>tbSabana2016[[#This Row],[CONAFOR (Oficiales)]]*383</calculatedColumnFormula>
    </tableColumn>
    <tableColumn id="53" name="Costo Otros" totalsRowFunction="sum" totalsRowDxfId="21">
      <calculatedColumnFormula>(tbSabana2016[[#This Row],[Total (Oficiales)]]-tbSabana2016[[#This Row],[CONAFOR (Oficiales)]])*217</calculatedColumnFormula>
    </tableColumn>
    <tableColumn id="75" name="Costo Total del Personal" totalsRowFunction="sum" dataDxfId="133" totalsRowDxfId="20">
      <calculatedColumnFormula>SUM(tbSabana2016[[#This Row],[Costo CONAFOR]:[Costo Otros]])</calculatedColumnFormula>
    </tableColumn>
    <tableColumn id="102" name="Costo de operación aplicado al incendio" totalsRowFunction="sum" dataDxfId="132" totalsRowDxfId="19"/>
    <tableColumn id="72" name="Costo Total de Supresión del Incendio" totalsRowFunction="sum" dataDxfId="131" totalsRowDxfId="18">
      <calculatedColumnFormula>SUM(CT5:CU5)</calculatedColumnFormula>
    </tableColumn>
    <tableColumn id="54" name="Temperatura (°C)" totalsRowDxfId="17"/>
    <tableColumn id="55" name="Velocidad del Viento (Km/h)" totalsRowDxfId="16"/>
    <tableColumn id="56" name="Humedad Relativa    (%)" totalsRowDxfId="15"/>
    <tableColumn id="57" name="Dirección del viento" totalsRowDxfId="14"/>
    <tableColumn id="58" name="Tipo de Incendio" totalsRowDxfId="13"/>
    <tableColumn id="68" name="Afectación en Arbolado Adulto       " totalsRowDxfId="12"/>
    <tableColumn id="69" name="Tipo de Vegetación" totalsRowDxfId="11"/>
    <tableColumn id="70" name="Nomenclatura T. Veg." totalsRowDxfId="10"/>
    <tableColumn id="71" name="Área Natural Protegida " totalsRowDxfId="9"/>
    <tableColumn id="14" name="Otra ANP Afectada " dataDxfId="130" totalsRowDxfId="8"/>
    <tableColumn id="100" name="ANP" totalsRowDxfId="7"/>
    <tableColumn id="108" name="Arbolado Adulto (HA)2" totalsRowFunction="sum" dataDxfId="129" totalsRowDxfId="6"/>
    <tableColumn id="107" name="Renuevo (HA)3" totalsRowFunction="sum" dataDxfId="128" totalsRowDxfId="5"/>
    <tableColumn id="106" name="Arbustivo (HA)4" totalsRowFunction="sum" dataDxfId="127" totalsRowDxfId="4"/>
    <tableColumn id="105" name="Herbáceo (HA)5" totalsRowFunction="sum" dataDxfId="126" totalsRowDxfId="3"/>
    <tableColumn id="104" name="Hojarasca (HA)6" totalsRowFunction="sum" dataDxfId="125" totalsRowDxfId="2"/>
    <tableColumn id="103" name="Suelo Orgánico (HA)7" totalsRowFunction="sum" dataDxfId="124" totalsRowDxfId="1"/>
    <tableColumn id="101" name="Total Superficie Afectada ANP  (AH)" totalsRowFunction="sum" dataDxfId="123" totalsRowDxfId="0">
      <calculatedColumnFormula>SUM(DH5:DM5)</calculatedColumnFormula>
    </tableColumn>
  </tableColumns>
  <tableStyleInfo name="TableStyleMedium15" showFirstColumn="1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NPIF">
      <a:dk1>
        <a:sysClr val="windowText" lastClr="000000"/>
      </a:dk1>
      <a:lt1>
        <a:sysClr val="window" lastClr="FFFFFF"/>
      </a:lt1>
      <a:dk2>
        <a:srgbClr val="C5C6C6"/>
      </a:dk2>
      <a:lt2>
        <a:srgbClr val="EBECEC"/>
      </a:lt2>
      <a:accent1>
        <a:srgbClr val="0E8448"/>
      </a:accent1>
      <a:accent2>
        <a:srgbClr val="EFA423"/>
      </a:accent2>
      <a:accent3>
        <a:srgbClr val="F16D23"/>
      </a:accent3>
      <a:accent4>
        <a:srgbClr val="33B34A"/>
      </a:accent4>
      <a:accent5>
        <a:srgbClr val="FED22F"/>
      </a:accent5>
      <a:accent6>
        <a:srgbClr val="B0282F"/>
      </a:accent6>
      <a:hlink>
        <a:srgbClr val="393939"/>
      </a:hlink>
      <a:folHlink>
        <a:srgbClr val="00A3E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workbookViewId="0">
      <selection activeCell="E16" sqref="E16"/>
    </sheetView>
  </sheetViews>
  <sheetFormatPr baseColWidth="10" defaultRowHeight="15" x14ac:dyDescent="0.25"/>
  <cols>
    <col min="1" max="1" width="17.5703125" bestFit="1" customWidth="1"/>
    <col min="2" max="2" width="26.7109375" customWidth="1"/>
    <col min="3" max="3" width="31.140625" bestFit="1" customWidth="1"/>
  </cols>
  <sheetData>
    <row r="3" spans="1:3" x14ac:dyDescent="0.25">
      <c r="A3" s="15" t="s">
        <v>598</v>
      </c>
      <c r="B3" t="s">
        <v>140</v>
      </c>
      <c r="C3" t="s">
        <v>671</v>
      </c>
    </row>
    <row r="4" spans="1:3" x14ac:dyDescent="0.25">
      <c r="A4" s="16" t="s">
        <v>123</v>
      </c>
      <c r="B4" s="18">
        <v>17</v>
      </c>
      <c r="C4" s="18">
        <v>1900.38</v>
      </c>
    </row>
    <row r="5" spans="1:3" x14ac:dyDescent="0.25">
      <c r="A5" s="16" t="s">
        <v>162</v>
      </c>
      <c r="B5" s="18">
        <v>57</v>
      </c>
      <c r="C5" s="18">
        <v>555.18999999999994</v>
      </c>
    </row>
    <row r="6" spans="1:3" x14ac:dyDescent="0.25">
      <c r="A6" s="16" t="s">
        <v>144</v>
      </c>
      <c r="B6" s="18">
        <v>51</v>
      </c>
      <c r="C6" s="18">
        <v>382.09999999999991</v>
      </c>
    </row>
    <row r="7" spans="1:3" x14ac:dyDescent="0.25">
      <c r="A7" s="16" t="s">
        <v>405</v>
      </c>
      <c r="B7" s="18">
        <v>14</v>
      </c>
      <c r="C7" s="18">
        <v>186.28</v>
      </c>
    </row>
    <row r="8" spans="1:3" x14ac:dyDescent="0.25">
      <c r="A8" s="16" t="s">
        <v>704</v>
      </c>
      <c r="B8" s="18">
        <v>2</v>
      </c>
      <c r="C8" s="18">
        <v>99.51</v>
      </c>
    </row>
    <row r="9" spans="1:3" x14ac:dyDescent="0.25">
      <c r="A9" s="16" t="s">
        <v>596</v>
      </c>
      <c r="B9" s="18">
        <v>1</v>
      </c>
      <c r="C9" s="18">
        <v>57</v>
      </c>
    </row>
    <row r="10" spans="1:3" x14ac:dyDescent="0.25">
      <c r="A10" s="16" t="s">
        <v>197</v>
      </c>
      <c r="B10" s="18">
        <v>2</v>
      </c>
      <c r="C10" s="18">
        <v>34.369999999999997</v>
      </c>
    </row>
    <row r="11" spans="1:3" x14ac:dyDescent="0.25">
      <c r="A11" s="16" t="s">
        <v>231</v>
      </c>
      <c r="B11" s="18">
        <v>8</v>
      </c>
      <c r="C11" s="18">
        <v>18.529999999999998</v>
      </c>
    </row>
    <row r="12" spans="1:3" x14ac:dyDescent="0.25">
      <c r="A12" s="16" t="s">
        <v>438</v>
      </c>
      <c r="B12" s="18">
        <v>1</v>
      </c>
      <c r="C12" s="18">
        <v>11.35</v>
      </c>
    </row>
    <row r="13" spans="1:3" x14ac:dyDescent="0.25">
      <c r="A13" s="16" t="s">
        <v>542</v>
      </c>
      <c r="B13" s="18">
        <v>1</v>
      </c>
      <c r="C13" s="18">
        <v>6.34</v>
      </c>
    </row>
    <row r="14" spans="1:3" x14ac:dyDescent="0.25">
      <c r="A14" s="16" t="s">
        <v>462</v>
      </c>
      <c r="B14" s="18">
        <v>1</v>
      </c>
      <c r="C14" s="18">
        <v>5.87</v>
      </c>
    </row>
    <row r="15" spans="1:3" x14ac:dyDescent="0.25">
      <c r="A15" s="16" t="s">
        <v>564</v>
      </c>
      <c r="B15" s="18">
        <v>1</v>
      </c>
      <c r="C15" s="18">
        <v>5.24</v>
      </c>
    </row>
    <row r="16" spans="1:3" x14ac:dyDescent="0.25">
      <c r="A16" s="16" t="s">
        <v>624</v>
      </c>
      <c r="B16" s="18">
        <v>1</v>
      </c>
      <c r="C16" s="18">
        <v>2.21</v>
      </c>
    </row>
    <row r="17" spans="1:3" x14ac:dyDescent="0.25">
      <c r="A17" s="16" t="s">
        <v>648</v>
      </c>
      <c r="B17" s="18">
        <v>2</v>
      </c>
      <c r="C17" s="18">
        <v>1.8</v>
      </c>
    </row>
    <row r="18" spans="1:3" x14ac:dyDescent="0.25">
      <c r="A18" s="16" t="s">
        <v>755</v>
      </c>
      <c r="B18" s="18">
        <v>1</v>
      </c>
      <c r="C18" s="18">
        <v>0</v>
      </c>
    </row>
    <row r="19" spans="1:3" x14ac:dyDescent="0.25">
      <c r="A19" s="16" t="s">
        <v>76</v>
      </c>
      <c r="B19" s="18">
        <v>160</v>
      </c>
      <c r="C19" s="18">
        <v>3266.1700000000005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V171"/>
  <sheetViews>
    <sheetView showGridLines="0" tabSelected="1" zoomScale="98" zoomScaleNormal="98" workbookViewId="0">
      <pane xSplit="4" ySplit="4" topLeftCell="AA148" activePane="bottomRight" state="frozen"/>
      <selection pane="topRight" activeCell="E1" sqref="E1"/>
      <selection pane="bottomLeft" activeCell="A5" sqref="A5"/>
      <selection pane="bottomRight" activeCell="AC154" sqref="AC154"/>
    </sheetView>
  </sheetViews>
  <sheetFormatPr baseColWidth="10" defaultColWidth="11.5703125" defaultRowHeight="15" x14ac:dyDescent="0.25"/>
  <cols>
    <col min="1" max="1" width="14.28515625" style="2" customWidth="1"/>
    <col min="2" max="2" width="13.5703125" style="2" bestFit="1" customWidth="1"/>
    <col min="3" max="4" width="16.5703125" style="45" bestFit="1" customWidth="1"/>
    <col min="5" max="5" width="14.140625" style="2" bestFit="1" customWidth="1"/>
    <col min="6" max="6" width="9.42578125" style="2" customWidth="1"/>
    <col min="7" max="7" width="8.42578125" style="2" customWidth="1"/>
    <col min="8" max="8" width="8.28515625" style="2" customWidth="1"/>
    <col min="9" max="9" width="9.42578125" style="2" customWidth="1"/>
    <col min="10" max="10" width="10.7109375" style="2" bestFit="1" customWidth="1"/>
    <col min="11" max="11" width="10.42578125" style="2" customWidth="1"/>
    <col min="12" max="12" width="9" style="2" customWidth="1"/>
    <col min="13" max="13" width="16.85546875" style="2" bestFit="1" customWidth="1"/>
    <col min="14" max="14" width="30.42578125" style="2" bestFit="1" customWidth="1"/>
    <col min="15" max="15" width="54.5703125" style="96" bestFit="1" customWidth="1"/>
    <col min="16" max="16" width="13.7109375" style="2" bestFit="1" customWidth="1"/>
    <col min="17" max="17" width="6" style="2" customWidth="1"/>
    <col min="18" max="18" width="6" style="104" customWidth="1"/>
    <col min="19" max="19" width="12.85546875" style="104" bestFit="1" customWidth="1"/>
    <col min="20" max="21" width="6" style="104" customWidth="1"/>
    <col min="22" max="22" width="12.85546875" style="104" bestFit="1" customWidth="1"/>
    <col min="23" max="23" width="29.42578125" style="2" customWidth="1"/>
    <col min="24" max="24" width="7.85546875" style="2" customWidth="1"/>
    <col min="25" max="25" width="12" style="2" bestFit="1" customWidth="1"/>
    <col min="26" max="26" width="11.85546875" style="2" bestFit="1" customWidth="1"/>
    <col min="27" max="28" width="12.42578125" style="2" bestFit="1" customWidth="1"/>
    <col min="29" max="29" width="12.7109375" style="2" bestFit="1" customWidth="1"/>
    <col min="30" max="30" width="12" style="2" bestFit="1" customWidth="1"/>
    <col min="31" max="31" width="12.7109375" style="2" bestFit="1" customWidth="1"/>
    <col min="32" max="32" width="13.42578125" style="92" bestFit="1" customWidth="1"/>
    <col min="33" max="33" width="15.140625" style="46" bestFit="1" customWidth="1"/>
    <col min="34" max="34" width="10.5703125" style="2" customWidth="1"/>
    <col min="35" max="35" width="26" style="2" bestFit="1" customWidth="1"/>
    <col min="36" max="36" width="26.7109375" style="2" bestFit="1" customWidth="1"/>
    <col min="37" max="37" width="33.5703125" style="2" bestFit="1" customWidth="1"/>
    <col min="38" max="38" width="14.5703125" style="2" customWidth="1"/>
    <col min="39" max="39" width="36" style="2" bestFit="1" customWidth="1"/>
    <col min="40" max="40" width="24.5703125" style="2" bestFit="1" customWidth="1"/>
    <col min="41" max="41" width="17.28515625" style="2" bestFit="1" customWidth="1"/>
    <col min="42" max="42" width="19.140625" style="2" bestFit="1" customWidth="1"/>
    <col min="43" max="43" width="15.42578125" style="2" bestFit="1" customWidth="1"/>
    <col min="44" max="44" width="21" style="2" bestFit="1" customWidth="1"/>
    <col min="45" max="45" width="23.42578125" style="2" bestFit="1" customWidth="1"/>
    <col min="46" max="46" width="15.42578125" style="2" bestFit="1" customWidth="1"/>
    <col min="47" max="47" width="18.7109375" style="2" bestFit="1" customWidth="1"/>
    <col min="48" max="48" width="22" style="2" bestFit="1" customWidth="1"/>
    <col min="49" max="49" width="11.28515625" style="2" customWidth="1"/>
    <col min="50" max="52" width="11.42578125" style="2" customWidth="1"/>
    <col min="53" max="53" width="10.7109375" style="2" bestFit="1" customWidth="1"/>
    <col min="54" max="56" width="10.7109375" style="2" customWidth="1"/>
    <col min="57" max="57" width="11.140625" style="2" customWidth="1"/>
    <col min="58" max="58" width="10.5703125" style="2" customWidth="1"/>
    <col min="59" max="59" width="9.42578125" style="2" customWidth="1"/>
    <col min="60" max="60" width="8.7109375" style="2" customWidth="1"/>
    <col min="61" max="61" width="13" style="2" customWidth="1"/>
    <col min="62" max="62" width="37" style="2" bestFit="1" customWidth="1"/>
    <col min="63" max="66" width="7.28515625" style="2" bestFit="1" customWidth="1"/>
    <col min="67" max="67" width="7.28515625" style="2" customWidth="1"/>
    <col min="68" max="68" width="6.42578125" style="2" bestFit="1" customWidth="1"/>
    <col min="69" max="70" width="7.28515625" style="2" customWidth="1"/>
    <col min="71" max="71" width="86.7109375" style="2" bestFit="1" customWidth="1"/>
    <col min="72" max="73" width="12.85546875" style="2" bestFit="1" customWidth="1"/>
    <col min="74" max="74" width="12.85546875" style="2" customWidth="1"/>
    <col min="75" max="75" width="13" style="2" bestFit="1" customWidth="1"/>
    <col min="76" max="76" width="13" style="2" customWidth="1"/>
    <col min="77" max="77" width="11.85546875" style="2" bestFit="1" customWidth="1"/>
    <col min="78" max="78" width="11.85546875" style="2" customWidth="1"/>
    <col min="79" max="79" width="11.5703125" style="2" bestFit="1" customWidth="1"/>
    <col min="80" max="82" width="11.5703125" style="2" customWidth="1"/>
    <col min="83" max="84" width="11.5703125" style="1" customWidth="1"/>
    <col min="85" max="85" width="11.85546875" style="1" bestFit="1" customWidth="1"/>
    <col min="86" max="86" width="13.28515625" style="1" bestFit="1" customWidth="1"/>
    <col min="87" max="87" width="12.42578125" style="1" bestFit="1" customWidth="1"/>
    <col min="88" max="88" width="11.42578125" style="1" customWidth="1"/>
    <col min="89" max="89" width="11.140625" style="1" customWidth="1"/>
    <col min="90" max="90" width="11.42578125" style="1" customWidth="1"/>
    <col min="91" max="91" width="15" style="1" customWidth="1"/>
    <col min="92" max="92" width="10.28515625" style="1" customWidth="1"/>
    <col min="93" max="93" width="13.42578125" style="1" bestFit="1" customWidth="1"/>
    <col min="94" max="95" width="13.42578125" style="1" customWidth="1"/>
    <col min="96" max="96" width="17.140625" style="1" bestFit="1" customWidth="1"/>
    <col min="97" max="97" width="13.85546875" style="1" bestFit="1" customWidth="1"/>
    <col min="98" max="98" width="22.140625" style="1" bestFit="1" customWidth="1"/>
    <col min="99" max="99" width="14.140625" style="1" customWidth="1"/>
    <col min="100" max="100" width="21.5703125" style="1" bestFit="1" customWidth="1"/>
    <col min="101" max="101" width="14.7109375" style="1" bestFit="1" customWidth="1"/>
    <col min="102" max="102" width="12.7109375" style="1" bestFit="1" customWidth="1"/>
    <col min="103" max="103" width="12.42578125" style="1" bestFit="1" customWidth="1"/>
    <col min="104" max="104" width="12.5703125" style="1" bestFit="1" customWidth="1"/>
    <col min="105" max="105" width="14.7109375" style="1" customWidth="1"/>
    <col min="106" max="106" width="15.140625" bestFit="1" customWidth="1"/>
    <col min="107" max="107" width="25.7109375" customWidth="1"/>
    <col min="108" max="108" width="11.7109375" customWidth="1"/>
    <col min="109" max="109" width="39.28515625" bestFit="1" customWidth="1"/>
    <col min="110" max="110" width="39.28515625" customWidth="1"/>
    <col min="111" max="111" width="10.7109375" bestFit="1" customWidth="1"/>
    <col min="112" max="112" width="12.140625" customWidth="1"/>
    <col min="113" max="114" width="10.7109375" customWidth="1"/>
    <col min="115" max="115" width="10.42578125" customWidth="1"/>
    <col min="116" max="116" width="10.140625" customWidth="1"/>
    <col min="117" max="117" width="10.28515625" customWidth="1"/>
    <col min="118" max="118" width="13.140625" customWidth="1"/>
    <col min="119" max="119" width="8.7109375" bestFit="1" customWidth="1"/>
    <col min="120" max="120" width="14.42578125" style="1" bestFit="1" customWidth="1"/>
    <col min="121" max="121" width="14.28515625" style="1" customWidth="1"/>
    <col min="122" max="122" width="16.42578125" style="1" bestFit="1" customWidth="1"/>
    <col min="123" max="123" width="28.42578125" style="1" bestFit="1" customWidth="1"/>
    <col min="124" max="124" width="17.140625" style="1" bestFit="1" customWidth="1"/>
    <col min="125" max="125" width="35.28515625" style="1" bestFit="1" customWidth="1"/>
    <col min="126" max="126" width="23.140625" style="1" customWidth="1"/>
    <col min="127" max="16384" width="11.5703125" style="3"/>
  </cols>
  <sheetData>
    <row r="1" spans="1:126" x14ac:dyDescent="0.25">
      <c r="A1" s="14" t="s">
        <v>75</v>
      </c>
      <c r="B1" s="14"/>
      <c r="C1" s="50" t="s">
        <v>75</v>
      </c>
      <c r="D1" s="50" t="s">
        <v>75</v>
      </c>
      <c r="E1" s="1"/>
      <c r="F1" s="14" t="s">
        <v>75</v>
      </c>
      <c r="G1" s="14" t="s">
        <v>75</v>
      </c>
      <c r="H1" s="1"/>
      <c r="I1" s="1"/>
      <c r="J1" s="1"/>
      <c r="K1" s="14" t="s">
        <v>75</v>
      </c>
      <c r="L1" s="14"/>
      <c r="M1" s="14" t="s">
        <v>75</v>
      </c>
      <c r="N1" s="14" t="s">
        <v>75</v>
      </c>
      <c r="O1" s="97" t="s">
        <v>75</v>
      </c>
      <c r="P1" s="14" t="s">
        <v>75</v>
      </c>
      <c r="Q1" s="14" t="s">
        <v>75</v>
      </c>
      <c r="R1" s="100" t="s">
        <v>75</v>
      </c>
      <c r="S1" s="100" t="s">
        <v>75</v>
      </c>
      <c r="T1" s="100" t="s">
        <v>75</v>
      </c>
      <c r="U1" s="100" t="s">
        <v>75</v>
      </c>
      <c r="V1" s="100" t="s">
        <v>75</v>
      </c>
      <c r="W1" s="1"/>
      <c r="X1" s="14" t="s">
        <v>75</v>
      </c>
      <c r="Y1" s="14" t="s">
        <v>75</v>
      </c>
      <c r="Z1" s="14" t="s">
        <v>75</v>
      </c>
      <c r="AA1" s="14" t="s">
        <v>75</v>
      </c>
      <c r="AB1" s="14" t="s">
        <v>75</v>
      </c>
      <c r="AC1" s="14" t="s">
        <v>75</v>
      </c>
      <c r="AD1" s="14" t="s">
        <v>75</v>
      </c>
      <c r="AE1" s="1"/>
      <c r="AF1" s="14" t="s">
        <v>75</v>
      </c>
      <c r="AG1" s="14" t="s">
        <v>75</v>
      </c>
      <c r="AH1" s="14" t="s">
        <v>75</v>
      </c>
      <c r="AI1" s="14" t="s">
        <v>75</v>
      </c>
      <c r="AJ1" s="14" t="s">
        <v>75</v>
      </c>
      <c r="AK1" s="14" t="s">
        <v>75</v>
      </c>
      <c r="AL1" s="14" t="s">
        <v>75</v>
      </c>
      <c r="AM1" s="14"/>
      <c r="AN1" s="14" t="s">
        <v>75</v>
      </c>
      <c r="AO1" s="14" t="s">
        <v>75</v>
      </c>
      <c r="AP1" s="14"/>
      <c r="AQ1" s="14" t="s">
        <v>75</v>
      </c>
      <c r="AR1" s="14" t="s">
        <v>75</v>
      </c>
      <c r="AS1" s="14" t="s">
        <v>75</v>
      </c>
      <c r="AT1" s="14" t="s">
        <v>75</v>
      </c>
      <c r="AU1" s="14" t="s">
        <v>75</v>
      </c>
      <c r="AV1" s="14"/>
      <c r="AW1" s="14" t="s">
        <v>75</v>
      </c>
      <c r="AX1" s="14" t="s">
        <v>75</v>
      </c>
      <c r="AY1" s="14" t="s">
        <v>75</v>
      </c>
      <c r="AZ1" s="14" t="s">
        <v>75</v>
      </c>
      <c r="BA1" s="14" t="s">
        <v>75</v>
      </c>
      <c r="BB1" s="14"/>
      <c r="BC1" s="14"/>
      <c r="BD1" s="14"/>
      <c r="BE1" s="14" t="s">
        <v>75</v>
      </c>
      <c r="BF1" s="14"/>
      <c r="BG1" s="14"/>
      <c r="BH1" s="14"/>
      <c r="BI1" s="14"/>
      <c r="BJ1" s="14" t="s">
        <v>75</v>
      </c>
      <c r="BK1" s="14"/>
      <c r="BL1" s="14"/>
      <c r="BM1" s="14"/>
      <c r="BN1" s="14"/>
      <c r="BO1" s="14"/>
      <c r="BP1" s="14"/>
      <c r="BQ1" s="14"/>
      <c r="BR1" s="14"/>
      <c r="BS1" s="14" t="s">
        <v>75</v>
      </c>
      <c r="BT1" s="14" t="s">
        <v>75</v>
      </c>
      <c r="BU1" s="14" t="s">
        <v>75</v>
      </c>
      <c r="BV1" s="14"/>
      <c r="BW1" s="14" t="s">
        <v>75</v>
      </c>
      <c r="BX1" s="14"/>
      <c r="BY1" s="14" t="s">
        <v>75</v>
      </c>
      <c r="BZ1" s="14"/>
      <c r="CA1" s="14" t="s">
        <v>75</v>
      </c>
      <c r="CB1" s="14"/>
      <c r="CC1" s="14"/>
      <c r="CD1" s="14"/>
      <c r="CE1" s="14"/>
      <c r="CF1" s="14"/>
      <c r="CG1" s="14" t="s">
        <v>75</v>
      </c>
      <c r="CH1" s="14" t="s">
        <v>75</v>
      </c>
      <c r="CI1" s="14" t="s">
        <v>75</v>
      </c>
      <c r="CJ1" s="14" t="s">
        <v>75</v>
      </c>
      <c r="CK1" s="14"/>
      <c r="CL1" s="14"/>
      <c r="CM1" s="14" t="s">
        <v>75</v>
      </c>
      <c r="CN1" s="14" t="s">
        <v>75</v>
      </c>
      <c r="CO1" s="14" t="s">
        <v>75</v>
      </c>
      <c r="CP1" s="14"/>
      <c r="CQ1" s="14"/>
      <c r="CR1" s="14" t="s">
        <v>75</v>
      </c>
      <c r="CS1" s="14" t="s">
        <v>75</v>
      </c>
      <c r="CT1" s="14" t="s">
        <v>75</v>
      </c>
      <c r="CU1" s="14"/>
      <c r="CV1" s="14"/>
      <c r="CW1" s="14" t="s">
        <v>75</v>
      </c>
      <c r="CX1" s="14" t="s">
        <v>75</v>
      </c>
      <c r="CY1" s="14" t="s">
        <v>75</v>
      </c>
      <c r="CZ1" s="14" t="s">
        <v>75</v>
      </c>
      <c r="DA1" s="14" t="s">
        <v>75</v>
      </c>
      <c r="DB1" s="14" t="s">
        <v>75</v>
      </c>
      <c r="DC1" s="14" t="s">
        <v>75</v>
      </c>
      <c r="DD1" s="14" t="s">
        <v>75</v>
      </c>
      <c r="DE1" s="14" t="s">
        <v>75</v>
      </c>
      <c r="DF1" s="14"/>
      <c r="DG1" s="14" t="s">
        <v>75</v>
      </c>
      <c r="DH1" s="14" t="s">
        <v>75</v>
      </c>
      <c r="DI1" s="14" t="s">
        <v>75</v>
      </c>
      <c r="DJ1" s="14" t="s">
        <v>75</v>
      </c>
      <c r="DK1" s="14" t="s">
        <v>75</v>
      </c>
      <c r="DL1" s="14" t="s">
        <v>75</v>
      </c>
      <c r="DM1" s="14" t="s">
        <v>75</v>
      </c>
      <c r="DN1" s="66"/>
      <c r="DO1" s="26"/>
      <c r="DP1" s="26"/>
      <c r="DQ1" s="26"/>
      <c r="DR1" s="26"/>
      <c r="DS1" s="26"/>
      <c r="DT1" s="26"/>
      <c r="DU1" s="3"/>
      <c r="DV1" s="3"/>
    </row>
    <row r="2" spans="1:126" x14ac:dyDescent="0.25">
      <c r="A2" s="51" t="s">
        <v>72</v>
      </c>
      <c r="B2" s="51"/>
      <c r="C2" s="150" t="s">
        <v>0</v>
      </c>
      <c r="D2" s="150"/>
      <c r="E2" s="150"/>
      <c r="F2" s="150"/>
      <c r="G2" s="150"/>
      <c r="H2" s="150"/>
      <c r="I2" s="150"/>
      <c r="J2" s="150"/>
      <c r="K2" s="157" t="s">
        <v>1</v>
      </c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46" t="s">
        <v>8</v>
      </c>
      <c r="Z2" s="146"/>
      <c r="AA2" s="147" t="s">
        <v>9</v>
      </c>
      <c r="AB2" s="147"/>
      <c r="AC2" s="147"/>
      <c r="AD2" s="147"/>
      <c r="AE2" s="52"/>
      <c r="AF2" s="1"/>
      <c r="AG2" s="1"/>
      <c r="AH2" s="156" t="s">
        <v>34</v>
      </c>
      <c r="AI2" s="156"/>
      <c r="AJ2" s="155" t="s">
        <v>2</v>
      </c>
      <c r="AK2" s="155"/>
      <c r="AL2" s="1"/>
      <c r="AM2" s="1"/>
      <c r="AN2" s="151" t="s">
        <v>3</v>
      </c>
      <c r="AO2" s="151"/>
      <c r="AP2" s="151"/>
      <c r="AQ2" s="151"/>
      <c r="AR2" s="151"/>
      <c r="AS2" s="151"/>
      <c r="AT2" s="151"/>
      <c r="AU2" s="151"/>
      <c r="AV2" s="151"/>
      <c r="AW2" s="151"/>
      <c r="AX2" s="152" t="s">
        <v>4</v>
      </c>
      <c r="AY2" s="152"/>
      <c r="AZ2" s="152"/>
      <c r="BA2" s="153"/>
      <c r="BB2" s="153"/>
      <c r="BC2" s="153"/>
      <c r="BD2" s="153"/>
      <c r="BE2" s="153"/>
      <c r="BF2" s="153"/>
      <c r="BG2" s="153"/>
      <c r="BH2" s="153"/>
      <c r="BI2" s="153"/>
      <c r="BJ2" s="53"/>
      <c r="BK2" s="159" t="s">
        <v>192</v>
      </c>
      <c r="BL2" s="159"/>
      <c r="BM2" s="159"/>
      <c r="BN2" s="159"/>
      <c r="BO2" s="159"/>
      <c r="BP2" s="159"/>
      <c r="BQ2" s="159"/>
      <c r="BR2" s="159"/>
      <c r="BS2" s="53"/>
      <c r="BT2" s="154" t="s">
        <v>5</v>
      </c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49" t="s">
        <v>6</v>
      </c>
      <c r="CS2" s="149"/>
      <c r="CT2" s="149"/>
      <c r="CU2" s="149"/>
      <c r="CV2" s="149"/>
      <c r="CW2" s="148" t="s">
        <v>7</v>
      </c>
      <c r="CX2" s="148"/>
      <c r="CY2" s="148"/>
      <c r="CZ2" s="148"/>
      <c r="DB2" s="1"/>
      <c r="DC2" s="1"/>
      <c r="DD2" s="1"/>
      <c r="DE2" s="1"/>
      <c r="DF2" s="1"/>
      <c r="DG2" s="1"/>
      <c r="DH2" s="146" t="s">
        <v>8</v>
      </c>
      <c r="DI2" s="146"/>
      <c r="DJ2" s="147" t="s">
        <v>9</v>
      </c>
      <c r="DK2" s="147"/>
      <c r="DL2" s="147"/>
      <c r="DM2" s="147"/>
      <c r="DN2" s="67"/>
      <c r="DO2" s="70"/>
      <c r="DP2" s="145"/>
      <c r="DQ2" s="145"/>
      <c r="DR2" s="145"/>
      <c r="DS2" s="145"/>
      <c r="DT2" s="26"/>
      <c r="DU2" s="3"/>
      <c r="DV2" s="3"/>
    </row>
    <row r="3" spans="1:126" x14ac:dyDescent="0.25">
      <c r="A3" s="54">
        <f>tbSabana2016[[#Totals],[Clave del Incendio]]</f>
        <v>159</v>
      </c>
      <c r="B3" s="54"/>
      <c r="C3" s="55">
        <f>tbSabana2016[[#Totals],[Fecha de Inicio]]</f>
        <v>43474</v>
      </c>
      <c r="D3" s="55">
        <f>tbSabana2016[[#Totals],[Fecha de Término]]</f>
        <v>43606</v>
      </c>
      <c r="E3" s="56"/>
      <c r="F3" s="57"/>
      <c r="G3" s="58"/>
      <c r="H3" s="56"/>
      <c r="I3" s="58"/>
      <c r="J3" s="56"/>
      <c r="K3" s="59"/>
      <c r="L3" s="59"/>
      <c r="M3" s="60"/>
      <c r="N3" s="60"/>
      <c r="O3" s="98"/>
      <c r="P3" s="60"/>
      <c r="Q3" s="157" t="s">
        <v>10</v>
      </c>
      <c r="R3" s="157"/>
      <c r="S3" s="157"/>
      <c r="T3" s="158" t="s">
        <v>11</v>
      </c>
      <c r="U3" s="158"/>
      <c r="V3" s="158"/>
      <c r="W3" s="60"/>
      <c r="X3" s="60"/>
      <c r="Y3" s="5">
        <f t="shared" ref="Y3:AE3" si="0">Y164</f>
        <v>14</v>
      </c>
      <c r="Z3" s="5">
        <f t="shared" si="0"/>
        <v>178.74</v>
      </c>
      <c r="AA3" s="6">
        <f t="shared" si="0"/>
        <v>1151.4799999999998</v>
      </c>
      <c r="AB3" s="6">
        <f t="shared" si="0"/>
        <v>1608.9399999999994</v>
      </c>
      <c r="AC3" s="6">
        <f t="shared" si="0"/>
        <v>603.80999999999983</v>
      </c>
      <c r="AD3" s="6">
        <f t="shared" si="0"/>
        <v>1.31</v>
      </c>
      <c r="AE3" s="61">
        <f t="shared" si="0"/>
        <v>3558.28</v>
      </c>
      <c r="AF3" s="1"/>
      <c r="AG3" s="1"/>
      <c r="AH3" s="156"/>
      <c r="AI3" s="156"/>
      <c r="AJ3" s="155"/>
      <c r="AK3" s="155"/>
      <c r="AL3" s="1"/>
      <c r="AM3" s="1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3">
        <f>tbSabana2016[[#Totals],[I. Detección ]]</f>
        <v>2.0025331935709347E-2</v>
      </c>
      <c r="AY3" s="63">
        <f>tbSabana2016[[#Totals],[I. Llegada ]]</f>
        <v>6.064378057302585E-2</v>
      </c>
      <c r="AZ3" s="63">
        <f>tbSabana2016[[#Totals],[I. Duración]]</f>
        <v>0.45823724668064297</v>
      </c>
      <c r="BA3" s="64">
        <f>tbSabana2016[[#Totals],[Ataque Directo (KM)]]</f>
        <v>80.949999999999946</v>
      </c>
      <c r="BB3" s="64">
        <f>tbSabana2016[[#Totals],[Apertura de Brecha Cortafuego (KM)]]</f>
        <v>138.32000000000002</v>
      </c>
      <c r="BC3" s="64">
        <f>tbSabana2016[[#Totals],[Rehabilitación de Brecha Cortafuego (KM)]]</f>
        <v>10.600000000000001</v>
      </c>
      <c r="BD3" s="64">
        <f>tbSabana2016[[#Totals],[Quema de Ensenche (KM)]]</f>
        <v>2.895</v>
      </c>
      <c r="BE3" s="64">
        <f>tbSabana2016[[#Totals],[Contrafuegos                      (KM)]]</f>
        <v>272.76500000000016</v>
      </c>
      <c r="BF3" s="64">
        <f>tbSabana2016[[#Totals],[Tendido de Manguera (KM)]]</f>
        <v>0.04</v>
      </c>
      <c r="BG3" s="64">
        <f>tbSabana2016[[#Totals],[Sofocación (KM)]]</f>
        <v>27.570000000000004</v>
      </c>
      <c r="BH3" s="64">
        <f>tbSabana2016[[#Totals],[Liquidación (KM)]]</f>
        <v>190.68</v>
      </c>
      <c r="BI3" s="64">
        <f>tbSabana2016[[#Totals],[Líneas Negras (KM)]]</f>
        <v>1.2</v>
      </c>
      <c r="BJ3" s="53"/>
      <c r="BK3" s="159"/>
      <c r="BL3" s="159"/>
      <c r="BM3" s="159"/>
      <c r="BN3" s="159"/>
      <c r="BO3" s="159"/>
      <c r="BP3" s="159"/>
      <c r="BQ3" s="159"/>
      <c r="BR3" s="159"/>
      <c r="BS3" s="53"/>
      <c r="BT3" s="49">
        <f>tbSabana2016[[#Totals],[CONAFOR (Oficiales)]]</f>
        <v>1552</v>
      </c>
      <c r="BU3" s="49">
        <f>tbSabana2016[[#Totals],[CONAFOR (Brigada Rurales Estatales)]]</f>
        <v>0</v>
      </c>
      <c r="BV3" s="49">
        <f>tbSabana2016[[#Totals],[CONAFOR (Brigadas Rurales Municipales)]]</f>
        <v>318</v>
      </c>
      <c r="BW3" s="49">
        <f>tbSabana2016[[#Totals],[CONAFOR (Servicios Ambientales)]]</f>
        <v>52</v>
      </c>
      <c r="BX3" s="49">
        <f>tbSabana2016[[#Totals],[CONAFOR (Subcontratados)]]</f>
        <v>9</v>
      </c>
      <c r="BY3" s="49">
        <f>tbSabana2016[[#Totals],[CONANP (Oficiales)]]</f>
        <v>427</v>
      </c>
      <c r="BZ3" s="49">
        <f>tbSabana2016[[#Totals],[CONANP (Servicios Externos)]]</f>
        <v>0</v>
      </c>
      <c r="CA3" s="49">
        <f>tbSabana2016[[#Totals],[SEDENA]]</f>
        <v>14</v>
      </c>
      <c r="CB3" s="49">
        <f>tbSabana2016[[#Totals],[SEMAR]]</f>
        <v>0</v>
      </c>
      <c r="CC3" s="49">
        <f>tbSabana2016[[#Totals],[Otras Dependencias Federales]]</f>
        <v>15</v>
      </c>
      <c r="CD3" s="49">
        <f>tbSabana2016[[#Totals],[Estatal (Gobierno del Estado)]]</f>
        <v>629</v>
      </c>
      <c r="CE3" s="49">
        <f>tbSabana2016[[#Totals],[Estatal (Protección Civil)]]</f>
        <v>18</v>
      </c>
      <c r="CF3" s="49">
        <f>tbSabana2016[[#Totals],[Municipales (Gobierno del Municipio)]]</f>
        <v>170</v>
      </c>
      <c r="CG3" s="49">
        <f>tbSabana2016[[#Totals],[Municipales (Protección Civil)]]</f>
        <v>214</v>
      </c>
      <c r="CH3" s="49">
        <f>tbSabana2016[[#Totals],[Voluntarios]]</f>
        <v>282</v>
      </c>
      <c r="CI3" s="49">
        <f>tbSabana2016[[#Totals],[Propietarios y Poseedores de Terrenos Forestales]]</f>
        <v>252</v>
      </c>
      <c r="CJ3" s="49">
        <f>tbSabana2016[[#Totals],[ONG´s]]</f>
        <v>0</v>
      </c>
      <c r="CK3" s="49">
        <f>tbSabana2016[[#Totals],[Asociación de Silvicultores]]</f>
        <v>0</v>
      </c>
      <c r="CL3" s="49">
        <f>tbSabana2016[[#Totals],[Sector Privado]]</f>
        <v>0</v>
      </c>
      <c r="CM3" s="49">
        <f>tbSabana2016[[#Totals],[Autirización de Aprovechamiento Forestal]]</f>
        <v>0</v>
      </c>
      <c r="CN3" s="49">
        <f>tbSabana2016[[#Totals],[Total (Oficiales)]]</f>
        <v>3952</v>
      </c>
      <c r="CO3" s="49"/>
      <c r="CP3" s="154">
        <f>SUM(CP164:CQ164)</f>
        <v>3952</v>
      </c>
      <c r="CQ3" s="154"/>
      <c r="CR3" s="4">
        <f>tbSabana2016[[#Totals],[Costo CONAFOR]]</f>
        <v>594416</v>
      </c>
      <c r="CS3" s="4">
        <f>tbSabana2016[[#Totals],[Costo Otros]]</f>
        <v>520800</v>
      </c>
      <c r="CT3" s="4">
        <f>tbSabana2016[[#Totals],[Costo Total del Personal]]</f>
        <v>1115216</v>
      </c>
      <c r="CU3" s="4">
        <f>tbSabana2016[[#Totals],[Costo de operación aplicado al incendio]]</f>
        <v>128937.15</v>
      </c>
      <c r="CV3" s="4">
        <f>tbSabana2016[[#Totals],[Costo Total de Supresión del Incendio]]</f>
        <v>1244153.1499999997</v>
      </c>
      <c r="CW3" s="48"/>
      <c r="CX3" s="48"/>
      <c r="CY3" s="48"/>
      <c r="CZ3" s="48"/>
      <c r="DB3" s="1"/>
      <c r="DC3" s="1"/>
      <c r="DD3" s="1"/>
      <c r="DE3" s="1"/>
      <c r="DF3" s="1"/>
      <c r="DG3" s="1"/>
      <c r="DH3" s="5">
        <f>tbSabana2016[[#Totals],[Arbolado Adulto (HA)2]]</f>
        <v>0</v>
      </c>
      <c r="DI3" s="5">
        <f>tbSabana2016[[#Totals],[Renuevo (HA)3]]</f>
        <v>131.15</v>
      </c>
      <c r="DJ3" s="6">
        <f>tbSabana2016[[#Totals],[Arbustivo (HA)4]]</f>
        <v>973.84999999999968</v>
      </c>
      <c r="DK3" s="6">
        <f>tbSabana2016[[#Totals],[Herbáceo (HA)5]]</f>
        <v>1370.3299999999997</v>
      </c>
      <c r="DL3" s="6">
        <f>tbSabana2016[[#Totals],[Hojarasca (HA)6]]</f>
        <v>445.28</v>
      </c>
      <c r="DM3" s="6">
        <f>tbSabana2016[[#Totals],[Suelo Orgánico (HA)7]]</f>
        <v>1.31</v>
      </c>
      <c r="DN3" s="68">
        <f>tbSabana2016[[#Totals],[Total Superficie Afectada ANP  (AH)]]</f>
        <v>2921.92</v>
      </c>
      <c r="DO3" s="27"/>
      <c r="DP3" s="27"/>
      <c r="DQ3" s="27"/>
      <c r="DR3" s="27"/>
      <c r="DS3" s="27"/>
      <c r="DT3" s="26"/>
      <c r="DU3" s="3"/>
      <c r="DV3" s="3"/>
    </row>
    <row r="4" spans="1:126" s="7" customFormat="1" ht="60" customHeight="1" x14ac:dyDescent="0.25">
      <c r="A4" s="11" t="s">
        <v>12</v>
      </c>
      <c r="B4" s="11" t="s">
        <v>84</v>
      </c>
      <c r="C4" s="33" t="s">
        <v>15</v>
      </c>
      <c r="D4" s="33" t="s">
        <v>17</v>
      </c>
      <c r="E4" s="34" t="s">
        <v>18</v>
      </c>
      <c r="F4" s="11" t="s">
        <v>73</v>
      </c>
      <c r="G4" s="11" t="s">
        <v>74</v>
      </c>
      <c r="H4" s="11" t="s">
        <v>14</v>
      </c>
      <c r="I4" s="11" t="s">
        <v>16</v>
      </c>
      <c r="J4" s="11" t="s">
        <v>13</v>
      </c>
      <c r="K4" s="11" t="s">
        <v>19</v>
      </c>
      <c r="L4" s="11" t="s">
        <v>137</v>
      </c>
      <c r="M4" s="11" t="s">
        <v>110</v>
      </c>
      <c r="N4" s="11" t="s">
        <v>111</v>
      </c>
      <c r="O4" s="99" t="s">
        <v>114</v>
      </c>
      <c r="P4" s="11" t="s">
        <v>20</v>
      </c>
      <c r="Q4" s="11" t="s">
        <v>22</v>
      </c>
      <c r="R4" s="101" t="s">
        <v>23</v>
      </c>
      <c r="S4" s="101" t="s">
        <v>24</v>
      </c>
      <c r="T4" s="101" t="s">
        <v>25</v>
      </c>
      <c r="U4" s="101" t="s">
        <v>26</v>
      </c>
      <c r="V4" s="101" t="s">
        <v>27</v>
      </c>
      <c r="W4" s="11" t="s">
        <v>21</v>
      </c>
      <c r="X4" s="11" t="s">
        <v>28</v>
      </c>
      <c r="Y4" s="12" t="s">
        <v>56</v>
      </c>
      <c r="Z4" s="12" t="s">
        <v>57</v>
      </c>
      <c r="AA4" s="13" t="s">
        <v>58</v>
      </c>
      <c r="AB4" s="13" t="s">
        <v>59</v>
      </c>
      <c r="AC4" s="13" t="s">
        <v>60</v>
      </c>
      <c r="AD4" s="13" t="s">
        <v>61</v>
      </c>
      <c r="AE4" s="65" t="s">
        <v>62</v>
      </c>
      <c r="AF4" s="11" t="s">
        <v>63</v>
      </c>
      <c r="AG4" s="11" t="s">
        <v>64</v>
      </c>
      <c r="AH4" s="11" t="s">
        <v>29</v>
      </c>
      <c r="AI4" s="11" t="s">
        <v>30</v>
      </c>
      <c r="AJ4" s="11" t="s">
        <v>2</v>
      </c>
      <c r="AK4" s="11" t="s">
        <v>31</v>
      </c>
      <c r="AL4" s="11" t="s">
        <v>32</v>
      </c>
      <c r="AM4" s="11" t="s">
        <v>124</v>
      </c>
      <c r="AN4" s="11" t="s">
        <v>33</v>
      </c>
      <c r="AO4" s="11" t="s">
        <v>34</v>
      </c>
      <c r="AP4" s="11" t="s">
        <v>108</v>
      </c>
      <c r="AQ4" s="11" t="s">
        <v>35</v>
      </c>
      <c r="AR4" s="11" t="s">
        <v>36</v>
      </c>
      <c r="AS4" s="11" t="s">
        <v>37</v>
      </c>
      <c r="AT4" s="11" t="s">
        <v>38</v>
      </c>
      <c r="AU4" s="11" t="s">
        <v>39</v>
      </c>
      <c r="AV4" s="11" t="s">
        <v>109</v>
      </c>
      <c r="AW4" s="11" t="s">
        <v>40</v>
      </c>
      <c r="AX4" s="11" t="s">
        <v>41</v>
      </c>
      <c r="AY4" s="11" t="s">
        <v>42</v>
      </c>
      <c r="AZ4" s="11" t="s">
        <v>43</v>
      </c>
      <c r="BA4" s="11" t="s">
        <v>107</v>
      </c>
      <c r="BB4" s="11" t="s">
        <v>106</v>
      </c>
      <c r="BC4" s="11" t="s">
        <v>105</v>
      </c>
      <c r="BD4" s="11" t="s">
        <v>125</v>
      </c>
      <c r="BE4" s="11" t="s">
        <v>126</v>
      </c>
      <c r="BF4" s="11" t="s">
        <v>104</v>
      </c>
      <c r="BG4" s="11" t="s">
        <v>103</v>
      </c>
      <c r="BH4" s="11" t="s">
        <v>102</v>
      </c>
      <c r="BI4" s="11" t="s">
        <v>101</v>
      </c>
      <c r="BJ4" s="11" t="s">
        <v>87</v>
      </c>
      <c r="BK4" s="11" t="s">
        <v>187</v>
      </c>
      <c r="BL4" s="11" t="s">
        <v>188</v>
      </c>
      <c r="BM4" s="11" t="s">
        <v>189</v>
      </c>
      <c r="BN4" s="11" t="s">
        <v>190</v>
      </c>
      <c r="BO4" s="11" t="s">
        <v>439</v>
      </c>
      <c r="BP4" s="11" t="s">
        <v>191</v>
      </c>
      <c r="BQ4" s="11" t="s">
        <v>535</v>
      </c>
      <c r="BR4" s="11" t="s">
        <v>536</v>
      </c>
      <c r="BS4" s="11" t="s">
        <v>44</v>
      </c>
      <c r="BT4" s="11" t="s">
        <v>89</v>
      </c>
      <c r="BU4" s="11" t="s">
        <v>90</v>
      </c>
      <c r="BV4" s="11" t="s">
        <v>91</v>
      </c>
      <c r="BW4" s="11" t="s">
        <v>92</v>
      </c>
      <c r="BX4" s="11" t="s">
        <v>127</v>
      </c>
      <c r="BY4" s="11" t="s">
        <v>93</v>
      </c>
      <c r="BZ4" s="11" t="s">
        <v>94</v>
      </c>
      <c r="CA4" s="11" t="s">
        <v>45</v>
      </c>
      <c r="CB4" s="11" t="s">
        <v>95</v>
      </c>
      <c r="CC4" s="11" t="s">
        <v>96</v>
      </c>
      <c r="CD4" s="11" t="s">
        <v>128</v>
      </c>
      <c r="CE4" s="11" t="s">
        <v>97</v>
      </c>
      <c r="CF4" s="11" t="s">
        <v>129</v>
      </c>
      <c r="CG4" s="11" t="s">
        <v>130</v>
      </c>
      <c r="CH4" s="11" t="s">
        <v>46</v>
      </c>
      <c r="CI4" s="11" t="s">
        <v>98</v>
      </c>
      <c r="CJ4" s="11" t="s">
        <v>99</v>
      </c>
      <c r="CK4" s="11" t="s">
        <v>100</v>
      </c>
      <c r="CL4" s="11" t="s">
        <v>131</v>
      </c>
      <c r="CM4" s="11" t="s">
        <v>132</v>
      </c>
      <c r="CN4" s="11" t="s">
        <v>47</v>
      </c>
      <c r="CO4" s="11" t="s">
        <v>48</v>
      </c>
      <c r="CP4" s="11" t="s">
        <v>86</v>
      </c>
      <c r="CQ4" s="11" t="s">
        <v>85</v>
      </c>
      <c r="CR4" s="11" t="s">
        <v>49</v>
      </c>
      <c r="CS4" s="11" t="s">
        <v>50</v>
      </c>
      <c r="CT4" s="11" t="s">
        <v>112</v>
      </c>
      <c r="CU4" s="11" t="s">
        <v>115</v>
      </c>
      <c r="CV4" s="11" t="s">
        <v>113</v>
      </c>
      <c r="CW4" s="11" t="s">
        <v>51</v>
      </c>
      <c r="CX4" s="11" t="s">
        <v>52</v>
      </c>
      <c r="CY4" s="11" t="s">
        <v>53</v>
      </c>
      <c r="CZ4" s="11" t="s">
        <v>54</v>
      </c>
      <c r="DA4" s="11" t="s">
        <v>55</v>
      </c>
      <c r="DB4" s="11" t="s">
        <v>65</v>
      </c>
      <c r="DC4" s="11" t="s">
        <v>66</v>
      </c>
      <c r="DD4" s="11" t="s">
        <v>67</v>
      </c>
      <c r="DE4" s="11" t="s">
        <v>88</v>
      </c>
      <c r="DF4" s="11" t="s">
        <v>141</v>
      </c>
      <c r="DG4" s="11" t="s">
        <v>68</v>
      </c>
      <c r="DH4" s="12" t="s">
        <v>116</v>
      </c>
      <c r="DI4" s="12" t="s">
        <v>117</v>
      </c>
      <c r="DJ4" s="13" t="s">
        <v>118</v>
      </c>
      <c r="DK4" s="13" t="s">
        <v>119</v>
      </c>
      <c r="DL4" s="13" t="s">
        <v>120</v>
      </c>
      <c r="DM4" s="13" t="s">
        <v>121</v>
      </c>
      <c r="DN4" s="11" t="s">
        <v>122</v>
      </c>
      <c r="DO4" s="11"/>
      <c r="DP4" s="11"/>
      <c r="DQ4" s="11"/>
      <c r="DR4" s="11"/>
      <c r="DS4" s="11"/>
      <c r="DT4" s="28"/>
    </row>
    <row r="5" spans="1:126" s="31" customFormat="1" ht="15.75" customHeight="1" x14ac:dyDescent="0.25">
      <c r="A5" s="2" t="s">
        <v>142</v>
      </c>
      <c r="B5" s="25">
        <v>1</v>
      </c>
      <c r="C5" s="35">
        <v>43474</v>
      </c>
      <c r="D5" s="41">
        <v>43474</v>
      </c>
      <c r="E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" s="2">
        <v>1</v>
      </c>
      <c r="G5" s="2">
        <v>1</v>
      </c>
      <c r="H5" s="47">
        <f>WEEKNUM(tbSabana2016[[#This Row],[Fecha de Inicio]],15)</f>
        <v>2</v>
      </c>
      <c r="I5" s="43" t="str">
        <f>TEXT(tbSabana2016[[#This Row],[Fecha de Inicio]],"dddd")</f>
        <v>miércoles</v>
      </c>
      <c r="J5" s="36" t="str">
        <f>TEXT(tbSabana2016[[#This Row],[Fecha de Inicio]],"mmmm")</f>
        <v>enero</v>
      </c>
      <c r="K5" s="37" t="s">
        <v>143</v>
      </c>
      <c r="L5" s="23">
        <v>9</v>
      </c>
      <c r="M5" s="38" t="s">
        <v>144</v>
      </c>
      <c r="N5" s="38" t="s">
        <v>144</v>
      </c>
      <c r="O5" s="38" t="s">
        <v>145</v>
      </c>
      <c r="P5" s="38" t="s">
        <v>146</v>
      </c>
      <c r="Q5" s="47">
        <v>19</v>
      </c>
      <c r="R5" s="102">
        <v>4</v>
      </c>
      <c r="S5" s="105">
        <v>47.67</v>
      </c>
      <c r="T5" s="102">
        <v>99</v>
      </c>
      <c r="U5" s="102">
        <v>13</v>
      </c>
      <c r="V5" s="105">
        <v>47.27</v>
      </c>
      <c r="W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47.67'' W 99° 13' 47.27''</v>
      </c>
      <c r="X5" s="44">
        <v>2957</v>
      </c>
      <c r="Y5" s="19">
        <v>0</v>
      </c>
      <c r="Z5" s="19">
        <v>0</v>
      </c>
      <c r="AA5" s="19">
        <v>0.45</v>
      </c>
      <c r="AB5" s="19">
        <v>0.45</v>
      </c>
      <c r="AC5" s="19">
        <v>0</v>
      </c>
      <c r="AD5" s="19">
        <v>0</v>
      </c>
      <c r="AE5" s="19">
        <f>SUM(tbSabana2016[[#This Row],[Arbolado Adulto (HA)]:[Suelo Orgánico (HA)]])</f>
        <v>0.9</v>
      </c>
      <c r="AF5" s="9">
        <f t="shared" ref="AF5:AF10" si="1">SUM(AF4,AE5)</f>
        <v>0.9</v>
      </c>
      <c r="AG5" s="9">
        <f>tbSabana2016[[#This Row],[Acumulado (HA)]]/tbSabana2016[[#This Row],[Incendio en el AÑO]]</f>
        <v>0.9</v>
      </c>
      <c r="AH5" s="2" t="s">
        <v>147</v>
      </c>
      <c r="AI5" s="2" t="s">
        <v>148</v>
      </c>
      <c r="AJ5" s="2" t="s">
        <v>133</v>
      </c>
      <c r="AK5" s="2" t="s">
        <v>149</v>
      </c>
      <c r="AL5" s="2" t="s">
        <v>150</v>
      </c>
      <c r="AM5" s="2" t="s">
        <v>151</v>
      </c>
      <c r="AN5" s="32">
        <v>43474.326388888891</v>
      </c>
      <c r="AO5" s="32">
        <v>43474.34375</v>
      </c>
      <c r="AP5" s="32">
        <v>43474.354166666664</v>
      </c>
      <c r="AQ5" s="32">
        <v>43474.395833333336</v>
      </c>
      <c r="AR5" s="32">
        <v>43474.399305555555</v>
      </c>
      <c r="AS5" s="32"/>
      <c r="AT5" s="32">
        <v>43474.458333333336</v>
      </c>
      <c r="AU5" s="32">
        <v>43474.479166666664</v>
      </c>
      <c r="AV5" s="32">
        <v>43474.527777777781</v>
      </c>
      <c r="AW5" s="40">
        <v>0.15277777777777776</v>
      </c>
      <c r="AX5" s="39">
        <v>1.7361111111111112E-2</v>
      </c>
      <c r="AY5" s="39">
        <v>5.2083333333333336E-2</v>
      </c>
      <c r="AZ5" s="40">
        <f>SUM(tbSabana2016[[#This Row],[Duración]])</f>
        <v>0.15277777777777776</v>
      </c>
      <c r="BA5" s="2">
        <v>0.28000000000000003</v>
      </c>
      <c r="BB5" s="2">
        <v>0.12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 t="s">
        <v>152</v>
      </c>
      <c r="BK5" s="2">
        <v>1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 t="s">
        <v>153</v>
      </c>
      <c r="BT5" s="2">
        <v>14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2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3">
        <f t="shared" ref="CN5:CN10" si="2">SUM(BT5:CM5)</f>
        <v>16</v>
      </c>
      <c r="CO5" s="10">
        <f>SUM(tbSabana2016[[#This Row],[Total (Oficiales)]])</f>
        <v>16</v>
      </c>
      <c r="CP5" s="10">
        <f t="shared" ref="CP5:CP10" si="3">SUM(BT5:CG5,CI5:CM5)</f>
        <v>16</v>
      </c>
      <c r="CQ5" s="24">
        <f>SUM(tbSabana2016[[#This Row],[Voluntarios]])</f>
        <v>0</v>
      </c>
      <c r="CR5" s="8">
        <f>tbSabana2016[[#This Row],[CONAFOR (Oficiales)]]*383</f>
        <v>5362</v>
      </c>
      <c r="CS5" s="8">
        <f>(tbSabana2016[[#This Row],[Total (Oficiales)]]-tbSabana2016[[#This Row],[CONAFOR (Oficiales)]])*217</f>
        <v>434</v>
      </c>
      <c r="CT5" s="8">
        <f>SUM(tbSabana2016[[#This Row],[Costo CONAFOR]:[Costo Otros]])</f>
        <v>5796</v>
      </c>
      <c r="CU5" s="8">
        <v>216</v>
      </c>
      <c r="CV5" s="8">
        <f t="shared" ref="CV5:CV10" si="4">SUM(CT5:CU5)</f>
        <v>6012</v>
      </c>
      <c r="CW5" s="2" t="s">
        <v>154</v>
      </c>
      <c r="CX5" s="2" t="s">
        <v>154</v>
      </c>
      <c r="CY5" s="2" t="s">
        <v>154</v>
      </c>
      <c r="CZ5" s="2" t="s">
        <v>154</v>
      </c>
      <c r="DA5" s="2" t="s">
        <v>172</v>
      </c>
      <c r="DB5" s="2" t="s">
        <v>155</v>
      </c>
      <c r="DC5" s="2" t="s">
        <v>156</v>
      </c>
      <c r="DD5" s="2" t="s">
        <v>157</v>
      </c>
      <c r="DE5" s="2" t="s">
        <v>158</v>
      </c>
      <c r="DF5" s="2" t="s">
        <v>159</v>
      </c>
      <c r="DG5" s="2" t="s">
        <v>160</v>
      </c>
      <c r="DH5" s="2">
        <v>0</v>
      </c>
      <c r="DI5" s="2">
        <v>0</v>
      </c>
      <c r="DJ5" s="2">
        <v>0.45</v>
      </c>
      <c r="DK5" s="2">
        <v>0.45</v>
      </c>
      <c r="DL5" s="2">
        <v>0</v>
      </c>
      <c r="DM5" s="2">
        <v>0</v>
      </c>
      <c r="DN5" s="2">
        <f t="shared" ref="DN5:DN10" si="5">SUM(DH5:DM5)</f>
        <v>0.9</v>
      </c>
      <c r="DO5" s="29"/>
      <c r="DP5" s="30"/>
      <c r="DQ5" s="30"/>
      <c r="DR5" s="30"/>
      <c r="DS5" s="30"/>
      <c r="DT5" s="30"/>
      <c r="DU5" s="30"/>
      <c r="DV5" s="30"/>
    </row>
    <row r="6" spans="1:126" s="31" customFormat="1" ht="15.75" customHeight="1" x14ac:dyDescent="0.25">
      <c r="A6" s="2" t="s">
        <v>161</v>
      </c>
      <c r="B6" s="25">
        <v>2</v>
      </c>
      <c r="C6" s="35">
        <v>43490</v>
      </c>
      <c r="D6" s="41">
        <v>43490</v>
      </c>
      <c r="E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" s="2">
        <v>2</v>
      </c>
      <c r="G6" s="2">
        <v>1</v>
      </c>
      <c r="H6" s="47">
        <f>WEEKNUM(tbSabana2016[[#This Row],[Fecha de Inicio]],15)</f>
        <v>5</v>
      </c>
      <c r="I6" s="43" t="str">
        <f>TEXT(tbSabana2016[[#This Row],[Fecha de Inicio]],"dddd")</f>
        <v>viernes</v>
      </c>
      <c r="J6" s="36" t="str">
        <f>TEXT(tbSabana2016[[#This Row],[Fecha de Inicio]],"mmmm")</f>
        <v>enero</v>
      </c>
      <c r="K6" s="37" t="s">
        <v>143</v>
      </c>
      <c r="L6" s="23">
        <v>20</v>
      </c>
      <c r="M6" s="38" t="s">
        <v>162</v>
      </c>
      <c r="N6" s="38" t="s">
        <v>163</v>
      </c>
      <c r="O6" s="38" t="s">
        <v>164</v>
      </c>
      <c r="P6" s="38"/>
      <c r="Q6" s="47">
        <v>18</v>
      </c>
      <c r="R6" s="102">
        <v>57</v>
      </c>
      <c r="S6" s="105">
        <v>50.67</v>
      </c>
      <c r="T6" s="102">
        <v>99</v>
      </c>
      <c r="U6" s="102">
        <v>10</v>
      </c>
      <c r="V6" s="105">
        <v>19.489999999999998</v>
      </c>
      <c r="W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50.67'' W 99° 10' 19.49''</v>
      </c>
      <c r="X6" s="44">
        <v>1649</v>
      </c>
      <c r="Y6" s="19">
        <v>0</v>
      </c>
      <c r="Z6" s="19">
        <v>0</v>
      </c>
      <c r="AA6" s="19">
        <v>1.85</v>
      </c>
      <c r="AB6" s="19">
        <v>4</v>
      </c>
      <c r="AC6" s="19">
        <v>0</v>
      </c>
      <c r="AD6" s="19">
        <v>0</v>
      </c>
      <c r="AE6" s="19">
        <f>SUM(tbSabana2016[[#This Row],[Arbolado Adulto (HA)]:[Suelo Orgánico (HA)]])</f>
        <v>5.85</v>
      </c>
      <c r="AF6" s="9">
        <f t="shared" si="1"/>
        <v>6.75</v>
      </c>
      <c r="AG6" s="9">
        <f>tbSabana2016[[#This Row],[Acumulado (HA)]]/tbSabana2016[[#This Row],[Incendio en el AÑO]]</f>
        <v>3.375</v>
      </c>
      <c r="AH6" s="2" t="s">
        <v>147</v>
      </c>
      <c r="AI6" s="2" t="s">
        <v>165</v>
      </c>
      <c r="AJ6" s="2" t="s">
        <v>139</v>
      </c>
      <c r="AK6" s="2" t="s">
        <v>166</v>
      </c>
      <c r="AL6" s="2" t="s">
        <v>150</v>
      </c>
      <c r="AM6" s="2" t="s">
        <v>151</v>
      </c>
      <c r="AN6" s="32">
        <v>43490.680555555555</v>
      </c>
      <c r="AO6" s="32">
        <v>43490.684027777781</v>
      </c>
      <c r="AP6" s="32">
        <v>43490.6875</v>
      </c>
      <c r="AQ6" s="32">
        <v>43490.708333333336</v>
      </c>
      <c r="AR6" s="32">
        <v>43490.711805555555</v>
      </c>
      <c r="AS6" s="32"/>
      <c r="AT6" s="32">
        <v>43490.770833333336</v>
      </c>
      <c r="AU6" s="32">
        <v>43490.791666666664</v>
      </c>
      <c r="AV6" s="32">
        <v>43490.8125</v>
      </c>
      <c r="AW6" s="40">
        <v>0.1111111111111111</v>
      </c>
      <c r="AX6" s="39">
        <v>3.472222222222222E-3</v>
      </c>
      <c r="AY6" s="39">
        <v>2.4305555555555556E-2</v>
      </c>
      <c r="AZ6" s="40">
        <f>SUM(tbSabana2016[[#This Row],[Duración]])</f>
        <v>0.1111111111111111</v>
      </c>
      <c r="BA6" s="2">
        <v>0.2</v>
      </c>
      <c r="BB6" s="2">
        <v>0</v>
      </c>
      <c r="BC6" s="2">
        <v>0</v>
      </c>
      <c r="BD6" s="2">
        <v>0</v>
      </c>
      <c r="BE6" s="2">
        <v>0.1</v>
      </c>
      <c r="BF6" s="2">
        <v>0</v>
      </c>
      <c r="BG6" s="2">
        <v>0.3</v>
      </c>
      <c r="BH6" s="2">
        <v>0.5</v>
      </c>
      <c r="BI6" s="2">
        <v>0</v>
      </c>
      <c r="BJ6" s="2" t="s">
        <v>167</v>
      </c>
      <c r="BK6" s="2">
        <v>0</v>
      </c>
      <c r="BL6" s="2">
        <v>0</v>
      </c>
      <c r="BM6" s="2">
        <v>1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/>
      <c r="BT6" s="2">
        <v>16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3">
        <f t="shared" si="2"/>
        <v>16</v>
      </c>
      <c r="CO6" s="10">
        <f>SUM(CO5,CN6)</f>
        <v>32</v>
      </c>
      <c r="CP6" s="10">
        <f t="shared" si="3"/>
        <v>16</v>
      </c>
      <c r="CQ6" s="24">
        <f>SUM(tbSabana2016[[#This Row],[Voluntarios]])</f>
        <v>0</v>
      </c>
      <c r="CR6" s="8">
        <f>tbSabana2016[[#This Row],[CONAFOR (Oficiales)]]*383</f>
        <v>6128</v>
      </c>
      <c r="CS6" s="8">
        <f>(tbSabana2016[[#This Row],[Total (Oficiales)]]-tbSabana2016[[#This Row],[CONAFOR (Oficiales)]])*217</f>
        <v>0</v>
      </c>
      <c r="CT6" s="8">
        <f>SUM(tbSabana2016[[#This Row],[Costo CONAFOR]:[Costo Otros]])</f>
        <v>6128</v>
      </c>
      <c r="CU6" s="8">
        <v>133</v>
      </c>
      <c r="CV6" s="8">
        <f t="shared" si="4"/>
        <v>6261</v>
      </c>
      <c r="CW6" s="2" t="s">
        <v>154</v>
      </c>
      <c r="CX6" s="2" t="s">
        <v>154</v>
      </c>
      <c r="CY6" s="2" t="s">
        <v>154</v>
      </c>
      <c r="CZ6" s="2" t="s">
        <v>154</v>
      </c>
      <c r="DA6" s="2" t="s">
        <v>172</v>
      </c>
      <c r="DB6" s="2" t="s">
        <v>155</v>
      </c>
      <c r="DC6" s="2" t="s">
        <v>168</v>
      </c>
      <c r="DD6" s="2" t="s">
        <v>169</v>
      </c>
      <c r="DE6" s="2" t="s">
        <v>170</v>
      </c>
      <c r="DF6" s="2" t="s">
        <v>159</v>
      </c>
      <c r="DG6" s="2" t="s">
        <v>171</v>
      </c>
      <c r="DH6" s="2">
        <v>0</v>
      </c>
      <c r="DI6" s="2">
        <v>0</v>
      </c>
      <c r="DJ6" s="2">
        <v>1.85</v>
      </c>
      <c r="DK6" s="2">
        <v>4</v>
      </c>
      <c r="DL6" s="2">
        <v>0</v>
      </c>
      <c r="DM6" s="2">
        <v>0</v>
      </c>
      <c r="DN6" s="2">
        <f t="shared" si="5"/>
        <v>5.85</v>
      </c>
      <c r="DO6" s="29"/>
      <c r="DP6" s="30"/>
      <c r="DQ6" s="30"/>
      <c r="DR6" s="30"/>
      <c r="DS6" s="30"/>
      <c r="DT6" s="30"/>
      <c r="DU6" s="30"/>
      <c r="DV6" s="30"/>
    </row>
    <row r="7" spans="1:126" s="31" customFormat="1" ht="15.75" customHeight="1" x14ac:dyDescent="0.25">
      <c r="A7" s="2" t="s">
        <v>173</v>
      </c>
      <c r="B7" s="25">
        <v>3</v>
      </c>
      <c r="C7" s="35">
        <v>43495</v>
      </c>
      <c r="D7" s="41">
        <v>43495</v>
      </c>
      <c r="E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" s="2">
        <v>3</v>
      </c>
      <c r="G7" s="2">
        <v>1</v>
      </c>
      <c r="H7" s="47">
        <f>WEEKNUM(tbSabana2016[[#This Row],[Fecha de Inicio]],15)</f>
        <v>5</v>
      </c>
      <c r="I7" s="43" t="str">
        <f>TEXT(tbSabana2016[[#This Row],[Fecha de Inicio]],"dddd")</f>
        <v>miércoles</v>
      </c>
      <c r="J7" s="36" t="str">
        <f>TEXT(tbSabana2016[[#This Row],[Fecha de Inicio]],"mmmm")</f>
        <v>enero</v>
      </c>
      <c r="K7" s="37" t="s">
        <v>143</v>
      </c>
      <c r="L7" s="23">
        <v>20</v>
      </c>
      <c r="M7" s="38" t="s">
        <v>162</v>
      </c>
      <c r="N7" s="38" t="s">
        <v>163</v>
      </c>
      <c r="O7" s="38" t="s">
        <v>193</v>
      </c>
      <c r="P7" s="38" t="s">
        <v>174</v>
      </c>
      <c r="Q7" s="47">
        <v>18</v>
      </c>
      <c r="R7" s="102">
        <v>57</v>
      </c>
      <c r="S7" s="105">
        <v>23.4</v>
      </c>
      <c r="T7" s="102">
        <v>99</v>
      </c>
      <c r="U7" s="102">
        <v>10</v>
      </c>
      <c r="V7" s="105">
        <v>16.8</v>
      </c>
      <c r="W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23.40'' W 99° 10' 16.80''</v>
      </c>
      <c r="X7" s="44">
        <v>1615</v>
      </c>
      <c r="Y7" s="19">
        <v>0</v>
      </c>
      <c r="Z7" s="19">
        <v>0</v>
      </c>
      <c r="AA7" s="19">
        <v>0</v>
      </c>
      <c r="AB7" s="19">
        <v>0.9</v>
      </c>
      <c r="AC7" s="19">
        <v>0</v>
      </c>
      <c r="AD7" s="19">
        <v>0</v>
      </c>
      <c r="AE7" s="19">
        <f>SUM(tbSabana2016[[#This Row],[Arbolado Adulto (HA)]:[Suelo Orgánico (HA)]])</f>
        <v>0.9</v>
      </c>
      <c r="AF7" s="9">
        <f t="shared" si="1"/>
        <v>7.65</v>
      </c>
      <c r="AG7" s="9">
        <f>tbSabana2016[[#This Row],[Acumulado (HA)]]/tbSabana2016[[#This Row],[Incendio en el AÑO]]</f>
        <v>2.5500000000000003</v>
      </c>
      <c r="AH7" s="2" t="s">
        <v>147</v>
      </c>
      <c r="AI7" s="2" t="s">
        <v>165</v>
      </c>
      <c r="AJ7" s="2" t="s">
        <v>135</v>
      </c>
      <c r="AK7" s="2" t="s">
        <v>175</v>
      </c>
      <c r="AL7" s="2" t="s">
        <v>150</v>
      </c>
      <c r="AM7" s="2" t="s">
        <v>151</v>
      </c>
      <c r="AN7" s="32">
        <v>43495.5</v>
      </c>
      <c r="AO7" s="32">
        <v>43495.503472222219</v>
      </c>
      <c r="AP7" s="32">
        <v>43495.506944444445</v>
      </c>
      <c r="AQ7" s="32">
        <v>43495.5625</v>
      </c>
      <c r="AR7" s="32">
        <v>43495.565972222219</v>
      </c>
      <c r="AS7" s="32"/>
      <c r="AT7" s="32">
        <v>43495.604166666664</v>
      </c>
      <c r="AU7" s="32">
        <v>43495.618055555555</v>
      </c>
      <c r="AV7" s="32">
        <v>43495.659722222219</v>
      </c>
      <c r="AW7" s="40">
        <v>0.11805555555555557</v>
      </c>
      <c r="AX7" s="39">
        <v>3.472222222222222E-3</v>
      </c>
      <c r="AY7" s="39">
        <v>5.9027777777777783E-2</v>
      </c>
      <c r="AZ7" s="40">
        <f>SUM(tbSabana2016[[#This Row],[Duración]])</f>
        <v>0.11805555555555557</v>
      </c>
      <c r="BA7" s="2">
        <v>7.0000000000000007E-2</v>
      </c>
      <c r="BB7" s="2">
        <v>0.18</v>
      </c>
      <c r="BC7" s="2">
        <v>0</v>
      </c>
      <c r="BD7" s="2">
        <v>0</v>
      </c>
      <c r="BE7" s="2">
        <v>0.2</v>
      </c>
      <c r="BF7" s="2">
        <v>0</v>
      </c>
      <c r="BG7" s="2">
        <v>0</v>
      </c>
      <c r="BH7" s="2">
        <v>0.6</v>
      </c>
      <c r="BI7" s="2">
        <v>0</v>
      </c>
      <c r="BJ7" s="2" t="s">
        <v>176</v>
      </c>
      <c r="BK7" s="2">
        <v>1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/>
      <c r="BT7" s="2">
        <v>9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3">
        <f t="shared" si="2"/>
        <v>9</v>
      </c>
      <c r="CO7" s="10">
        <f t="shared" ref="CO7:CO49" si="6">SUM(CO6,CN7)</f>
        <v>41</v>
      </c>
      <c r="CP7" s="10">
        <f t="shared" si="3"/>
        <v>9</v>
      </c>
      <c r="CQ7" s="24">
        <f>SUM(tbSabana2016[[#This Row],[Voluntarios]])</f>
        <v>0</v>
      </c>
      <c r="CR7" s="8">
        <f>tbSabana2016[[#This Row],[CONAFOR (Oficiales)]]*383</f>
        <v>3447</v>
      </c>
      <c r="CS7" s="8">
        <f>(tbSabana2016[[#This Row],[Total (Oficiales)]]-tbSabana2016[[#This Row],[CONAFOR (Oficiales)]])*217</f>
        <v>0</v>
      </c>
      <c r="CT7" s="8">
        <f>SUM(tbSabana2016[[#This Row],[Costo CONAFOR]:[Costo Otros]])</f>
        <v>3447</v>
      </c>
      <c r="CU7" s="8">
        <v>138.5</v>
      </c>
      <c r="CV7" s="8">
        <f t="shared" si="4"/>
        <v>3585.5</v>
      </c>
      <c r="CW7" s="2" t="s">
        <v>154</v>
      </c>
      <c r="CX7" s="2" t="s">
        <v>154</v>
      </c>
      <c r="CY7" s="2" t="s">
        <v>154</v>
      </c>
      <c r="CZ7" s="2" t="s">
        <v>154</v>
      </c>
      <c r="DA7" s="2" t="s">
        <v>172</v>
      </c>
      <c r="DB7" s="2" t="s">
        <v>155</v>
      </c>
      <c r="DC7" s="2" t="s">
        <v>168</v>
      </c>
      <c r="DD7" s="2" t="s">
        <v>169</v>
      </c>
      <c r="DE7" s="2" t="s">
        <v>170</v>
      </c>
      <c r="DF7" s="2" t="s">
        <v>159</v>
      </c>
      <c r="DG7" s="2" t="s">
        <v>171</v>
      </c>
      <c r="DH7" s="2">
        <v>0</v>
      </c>
      <c r="DI7" s="2">
        <v>0</v>
      </c>
      <c r="DJ7" s="2">
        <v>0</v>
      </c>
      <c r="DK7" s="2">
        <v>0.9</v>
      </c>
      <c r="DL7" s="2">
        <v>0</v>
      </c>
      <c r="DM7" s="2">
        <v>0</v>
      </c>
      <c r="DN7" s="2">
        <f t="shared" si="5"/>
        <v>0.9</v>
      </c>
      <c r="DO7" s="29"/>
      <c r="DP7" s="30"/>
      <c r="DQ7" s="30"/>
      <c r="DR7" s="30"/>
      <c r="DS7" s="30"/>
      <c r="DT7" s="30"/>
      <c r="DU7" s="30"/>
      <c r="DV7" s="30"/>
    </row>
    <row r="8" spans="1:126" s="31" customFormat="1" ht="15.75" customHeight="1" x14ac:dyDescent="0.25">
      <c r="A8" s="2" t="s">
        <v>177</v>
      </c>
      <c r="B8" s="25">
        <v>4</v>
      </c>
      <c r="C8" s="35">
        <v>43496</v>
      </c>
      <c r="D8" s="41">
        <v>43496</v>
      </c>
      <c r="E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" s="2">
        <v>4</v>
      </c>
      <c r="G8" s="2">
        <v>1</v>
      </c>
      <c r="H8" s="47">
        <f>WEEKNUM(tbSabana2016[[#This Row],[Fecha de Inicio]],15)</f>
        <v>5</v>
      </c>
      <c r="I8" s="36" t="str">
        <f>TEXT(tbSabana2016[[#This Row],[Fecha de Inicio]],"dddd")</f>
        <v>jueves</v>
      </c>
      <c r="J8" s="36" t="str">
        <f>TEXT(tbSabana2016[[#This Row],[Fecha de Inicio]],"mmmm")</f>
        <v>enero</v>
      </c>
      <c r="K8" s="37" t="s">
        <v>143</v>
      </c>
      <c r="L8" s="23">
        <v>20</v>
      </c>
      <c r="M8" s="38" t="s">
        <v>162</v>
      </c>
      <c r="N8" s="38" t="s">
        <v>163</v>
      </c>
      <c r="O8" s="38" t="s">
        <v>178</v>
      </c>
      <c r="P8" s="38"/>
      <c r="Q8" s="47">
        <v>18</v>
      </c>
      <c r="R8" s="102">
        <v>58</v>
      </c>
      <c r="S8" s="105">
        <v>32.700000000000003</v>
      </c>
      <c r="T8" s="102">
        <v>99</v>
      </c>
      <c r="U8" s="102">
        <v>10</v>
      </c>
      <c r="V8" s="105">
        <v>45.4</v>
      </c>
      <c r="W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32.70'' W 99° 10' 45.40''</v>
      </c>
      <c r="X8" s="44">
        <v>1704</v>
      </c>
      <c r="Y8" s="19">
        <v>0</v>
      </c>
      <c r="Z8" s="19">
        <v>0</v>
      </c>
      <c r="AA8" s="19">
        <v>0.05</v>
      </c>
      <c r="AB8" s="19">
        <v>0.05</v>
      </c>
      <c r="AC8" s="19">
        <v>0</v>
      </c>
      <c r="AD8" s="19">
        <v>0</v>
      </c>
      <c r="AE8" s="19">
        <f>SUM(tbSabana2016[[#This Row],[Arbolado Adulto (HA)]:[Suelo Orgánico (HA)]])</f>
        <v>0.1</v>
      </c>
      <c r="AF8" s="9">
        <f t="shared" si="1"/>
        <v>7.75</v>
      </c>
      <c r="AG8" s="9">
        <f>tbSabana2016[[#This Row],[Acumulado (HA)]]/tbSabana2016[[#This Row],[Incendio en el AÑO]]</f>
        <v>1.9375</v>
      </c>
      <c r="AH8" s="2" t="s">
        <v>147</v>
      </c>
      <c r="AI8" s="2" t="s">
        <v>165</v>
      </c>
      <c r="AJ8" s="2" t="s">
        <v>135</v>
      </c>
      <c r="AK8" s="2" t="s">
        <v>175</v>
      </c>
      <c r="AL8" s="2" t="s">
        <v>150</v>
      </c>
      <c r="AM8" s="2" t="s">
        <v>151</v>
      </c>
      <c r="AN8" s="32">
        <v>43496.458333333336</v>
      </c>
      <c r="AO8" s="32">
        <v>43496.461805555555</v>
      </c>
      <c r="AP8" s="32">
        <v>43496.463888888888</v>
      </c>
      <c r="AQ8" s="32">
        <v>43496.484722222223</v>
      </c>
      <c r="AR8" s="32">
        <v>43496.486111111109</v>
      </c>
      <c r="AS8" s="32"/>
      <c r="AT8" s="32">
        <v>43496.5</v>
      </c>
      <c r="AU8" s="32">
        <v>43496.520833333336</v>
      </c>
      <c r="AV8" s="32">
        <v>43496.541666666664</v>
      </c>
      <c r="AW8" s="40">
        <v>6.25E-2</v>
      </c>
      <c r="AX8" s="39">
        <v>3.472222222222222E-3</v>
      </c>
      <c r="AY8" s="39">
        <v>2.2916666666666669E-2</v>
      </c>
      <c r="AZ8" s="40">
        <f>SUM(tbSabana2016[[#This Row],[Duración]])</f>
        <v>6.25E-2</v>
      </c>
      <c r="BA8" s="2">
        <v>0.05</v>
      </c>
      <c r="BB8" s="2">
        <v>0.06</v>
      </c>
      <c r="BC8" s="2">
        <v>0</v>
      </c>
      <c r="BD8" s="2">
        <v>0</v>
      </c>
      <c r="BE8" s="2">
        <v>0.03</v>
      </c>
      <c r="BF8" s="2">
        <v>0</v>
      </c>
      <c r="BG8" s="2">
        <v>0</v>
      </c>
      <c r="BH8" s="2">
        <v>0.05</v>
      </c>
      <c r="BI8" s="2">
        <v>0</v>
      </c>
      <c r="BJ8" s="2" t="s">
        <v>179</v>
      </c>
      <c r="BK8" s="2">
        <v>0</v>
      </c>
      <c r="BL8" s="2">
        <v>0</v>
      </c>
      <c r="BM8" s="2">
        <v>0</v>
      </c>
      <c r="BN8" s="2">
        <v>1</v>
      </c>
      <c r="BO8" s="2">
        <v>0</v>
      </c>
      <c r="BP8" s="2">
        <v>0</v>
      </c>
      <c r="BQ8" s="2">
        <v>0</v>
      </c>
      <c r="BR8" s="2">
        <v>0</v>
      </c>
      <c r="BS8" s="2"/>
      <c r="BT8" s="2">
        <v>8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3">
        <f t="shared" si="2"/>
        <v>8</v>
      </c>
      <c r="CO8" s="10">
        <f t="shared" si="6"/>
        <v>49</v>
      </c>
      <c r="CP8" s="10">
        <f t="shared" si="3"/>
        <v>8</v>
      </c>
      <c r="CQ8" s="24">
        <f>SUM(tbSabana2016[[#This Row],[Voluntarios]])</f>
        <v>0</v>
      </c>
      <c r="CR8" s="8">
        <f>tbSabana2016[[#This Row],[CONAFOR (Oficiales)]]*383</f>
        <v>3064</v>
      </c>
      <c r="CS8" s="8">
        <f>(tbSabana2016[[#This Row],[Total (Oficiales)]]-tbSabana2016[[#This Row],[CONAFOR (Oficiales)]])*217</f>
        <v>0</v>
      </c>
      <c r="CT8" s="8">
        <f>SUM(tbSabana2016[[#This Row],[Costo CONAFOR]:[Costo Otros]])</f>
        <v>3064</v>
      </c>
      <c r="CU8" s="8">
        <v>116.29</v>
      </c>
      <c r="CV8" s="8">
        <f t="shared" si="4"/>
        <v>3180.29</v>
      </c>
      <c r="CW8" s="2" t="s">
        <v>154</v>
      </c>
      <c r="CX8" s="2" t="s">
        <v>154</v>
      </c>
      <c r="CY8" s="69" t="s">
        <v>154</v>
      </c>
      <c r="CZ8" s="2" t="s">
        <v>154</v>
      </c>
      <c r="DA8" s="2" t="s">
        <v>172</v>
      </c>
      <c r="DB8" s="2" t="s">
        <v>155</v>
      </c>
      <c r="DC8" s="2" t="s">
        <v>168</v>
      </c>
      <c r="DD8" s="2" t="s">
        <v>169</v>
      </c>
      <c r="DE8" s="2" t="s">
        <v>170</v>
      </c>
      <c r="DF8" s="2" t="s">
        <v>159</v>
      </c>
      <c r="DG8" s="2" t="s">
        <v>171</v>
      </c>
      <c r="DH8" s="2">
        <v>0</v>
      </c>
      <c r="DI8" s="2">
        <v>0</v>
      </c>
      <c r="DJ8" s="2">
        <v>0.05</v>
      </c>
      <c r="DK8" s="2">
        <v>0.05</v>
      </c>
      <c r="DL8" s="2">
        <v>0</v>
      </c>
      <c r="DM8" s="2">
        <v>0</v>
      </c>
      <c r="DN8" s="2">
        <f t="shared" si="5"/>
        <v>0.1</v>
      </c>
      <c r="DO8" s="29"/>
      <c r="DP8" s="30"/>
      <c r="DQ8" s="30"/>
      <c r="DR8" s="30"/>
      <c r="DS8" s="30"/>
      <c r="DT8" s="30"/>
      <c r="DU8" s="30"/>
      <c r="DV8" s="30"/>
    </row>
    <row r="9" spans="1:126" s="31" customFormat="1" ht="15.75" customHeight="1" x14ac:dyDescent="0.25">
      <c r="A9" s="2" t="s">
        <v>180</v>
      </c>
      <c r="B9" s="25">
        <v>5</v>
      </c>
      <c r="C9" s="35">
        <v>43496</v>
      </c>
      <c r="D9" s="41">
        <v>43496</v>
      </c>
      <c r="E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" s="2">
        <v>5</v>
      </c>
      <c r="G9" s="2">
        <v>1</v>
      </c>
      <c r="H9" s="47">
        <f>WEEKNUM(tbSabana2016[[#This Row],[Fecha de Inicio]],15)</f>
        <v>5</v>
      </c>
      <c r="I9" s="36" t="str">
        <f>TEXT(tbSabana2016[[#This Row],[Fecha de Inicio]],"dddd")</f>
        <v>jueves</v>
      </c>
      <c r="J9" s="36" t="str">
        <f>TEXT(tbSabana2016[[#This Row],[Fecha de Inicio]],"mmmm")</f>
        <v>enero</v>
      </c>
      <c r="K9" s="37" t="s">
        <v>143</v>
      </c>
      <c r="L9" s="23">
        <v>9</v>
      </c>
      <c r="M9" s="38" t="s">
        <v>144</v>
      </c>
      <c r="N9" s="38" t="s">
        <v>144</v>
      </c>
      <c r="O9" s="38" t="s">
        <v>194</v>
      </c>
      <c r="P9" s="38" t="s">
        <v>182</v>
      </c>
      <c r="Q9" s="47">
        <v>19</v>
      </c>
      <c r="R9" s="102">
        <v>1</v>
      </c>
      <c r="S9" s="105">
        <v>40.200000000000003</v>
      </c>
      <c r="T9" s="102">
        <v>99</v>
      </c>
      <c r="U9" s="102">
        <v>13</v>
      </c>
      <c r="V9" s="105">
        <v>36.6</v>
      </c>
      <c r="W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01' 40.20'' W 99° 13' 36.60''</v>
      </c>
      <c r="X9" s="44">
        <v>2608</v>
      </c>
      <c r="Y9" s="19">
        <v>0</v>
      </c>
      <c r="Z9" s="19">
        <v>0</v>
      </c>
      <c r="AA9" s="19">
        <v>0.4</v>
      </c>
      <c r="AB9" s="19">
        <v>0.4</v>
      </c>
      <c r="AC9" s="19">
        <v>0</v>
      </c>
      <c r="AD9" s="19">
        <v>0</v>
      </c>
      <c r="AE9" s="19">
        <f>SUM(tbSabana2016[[#This Row],[Arbolado Adulto (HA)]:[Suelo Orgánico (HA)]])</f>
        <v>0.8</v>
      </c>
      <c r="AF9" s="9">
        <f t="shared" si="1"/>
        <v>8.5500000000000007</v>
      </c>
      <c r="AG9" s="9">
        <f>tbSabana2016[[#This Row],[Acumulado (HA)]]/tbSabana2016[[#This Row],[Incendio en el AÑO]]</f>
        <v>1.7100000000000002</v>
      </c>
      <c r="AH9" s="2" t="s">
        <v>147</v>
      </c>
      <c r="AI9" s="2" t="s">
        <v>165</v>
      </c>
      <c r="AJ9" s="2" t="s">
        <v>134</v>
      </c>
      <c r="AK9" s="2" t="s">
        <v>183</v>
      </c>
      <c r="AL9" s="2" t="s">
        <v>150</v>
      </c>
      <c r="AM9" s="2" t="s">
        <v>151</v>
      </c>
      <c r="AN9" s="32">
        <v>43496.743055555555</v>
      </c>
      <c r="AO9" s="32">
        <v>43496.746527777781</v>
      </c>
      <c r="AP9" s="32">
        <v>43496.75</v>
      </c>
      <c r="AQ9" s="32">
        <v>43496.767361111109</v>
      </c>
      <c r="AR9" s="32">
        <v>43496.770833333336</v>
      </c>
      <c r="AS9" s="32"/>
      <c r="AT9" s="32">
        <v>43496.805555555555</v>
      </c>
      <c r="AU9" s="32">
        <v>43496.819444444445</v>
      </c>
      <c r="AV9" s="32">
        <v>43496.833333333336</v>
      </c>
      <c r="AW9" s="40">
        <v>7.6388888888888895E-2</v>
      </c>
      <c r="AX9" s="39">
        <v>3.472222222222222E-3</v>
      </c>
      <c r="AY9" s="39">
        <v>2.0833333333333332E-2</v>
      </c>
      <c r="AZ9" s="40">
        <f>SUM(tbSabana2016[[#This Row],[Duración]])</f>
        <v>7.6388888888888895E-2</v>
      </c>
      <c r="BA9" s="2">
        <v>0.1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0.05</v>
      </c>
      <c r="BH9" s="2">
        <v>0.08</v>
      </c>
      <c r="BI9" s="2">
        <v>0</v>
      </c>
      <c r="BJ9" s="2" t="s">
        <v>181</v>
      </c>
      <c r="BK9" s="2">
        <v>0</v>
      </c>
      <c r="BL9" s="2">
        <v>1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 t="s">
        <v>153</v>
      </c>
      <c r="BT9" s="2">
        <v>9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4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3">
        <f t="shared" si="2"/>
        <v>13</v>
      </c>
      <c r="CO9" s="10">
        <f t="shared" si="6"/>
        <v>62</v>
      </c>
      <c r="CP9" s="10">
        <f t="shared" si="3"/>
        <v>13</v>
      </c>
      <c r="CQ9" s="24">
        <f>SUM(tbSabana2016[[#This Row],[Voluntarios]])</f>
        <v>0</v>
      </c>
      <c r="CR9" s="8">
        <f>tbSabana2016[[#This Row],[CONAFOR (Oficiales)]]*383</f>
        <v>3447</v>
      </c>
      <c r="CS9" s="8">
        <f>(tbSabana2016[[#This Row],[Total (Oficiales)]]-tbSabana2016[[#This Row],[CONAFOR (Oficiales)]])*217</f>
        <v>868</v>
      </c>
      <c r="CT9" s="8">
        <f>SUM(tbSabana2016[[#This Row],[Costo CONAFOR]:[Costo Otros]])</f>
        <v>4315</v>
      </c>
      <c r="CU9" s="8">
        <v>260.68</v>
      </c>
      <c r="CV9" s="8">
        <f t="shared" si="4"/>
        <v>4575.68</v>
      </c>
      <c r="CW9" s="2" t="s">
        <v>154</v>
      </c>
      <c r="CX9" s="2" t="s">
        <v>154</v>
      </c>
      <c r="CY9" s="69" t="s">
        <v>154</v>
      </c>
      <c r="CZ9" s="2" t="s">
        <v>154</v>
      </c>
      <c r="DA9" s="2" t="s">
        <v>172</v>
      </c>
      <c r="DB9" s="2" t="s">
        <v>155</v>
      </c>
      <c r="DC9" s="2" t="s">
        <v>156</v>
      </c>
      <c r="DD9" s="2" t="s">
        <v>157</v>
      </c>
      <c r="DE9" s="2" t="s">
        <v>158</v>
      </c>
      <c r="DF9" s="2" t="s">
        <v>159</v>
      </c>
      <c r="DG9" s="2" t="s">
        <v>160</v>
      </c>
      <c r="DH9" s="2">
        <v>0</v>
      </c>
      <c r="DI9" s="2">
        <v>0</v>
      </c>
      <c r="DJ9" s="2">
        <v>0.4</v>
      </c>
      <c r="DK9" s="2">
        <v>0.4</v>
      </c>
      <c r="DL9" s="2">
        <v>0</v>
      </c>
      <c r="DM9" s="2">
        <v>0</v>
      </c>
      <c r="DN9" s="2">
        <f t="shared" si="5"/>
        <v>0.8</v>
      </c>
      <c r="DO9" s="29"/>
      <c r="DP9" s="30"/>
      <c r="DQ9" s="30"/>
      <c r="DR9" s="30"/>
      <c r="DS9" s="30"/>
      <c r="DT9" s="30"/>
      <c r="DU9" s="30"/>
      <c r="DV9" s="30"/>
    </row>
    <row r="10" spans="1:126" s="31" customFormat="1" ht="15.75" customHeight="1" x14ac:dyDescent="0.25">
      <c r="A10" s="2" t="s">
        <v>184</v>
      </c>
      <c r="B10" s="25">
        <v>6</v>
      </c>
      <c r="C10" s="35">
        <v>43497</v>
      </c>
      <c r="D10" s="41">
        <v>43497</v>
      </c>
      <c r="E1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" s="2">
        <v>1</v>
      </c>
      <c r="G10" s="2">
        <v>1</v>
      </c>
      <c r="H10" s="47">
        <f>WEEKNUM(tbSabana2016[[#This Row],[Fecha de Inicio]],15)</f>
        <v>6</v>
      </c>
      <c r="I10" s="36" t="str">
        <f>TEXT(tbSabana2016[[#This Row],[Fecha de Inicio]],"dddd")</f>
        <v>viernes</v>
      </c>
      <c r="J10" s="36" t="str">
        <f>TEXT(tbSabana2016[[#This Row],[Fecha de Inicio]],"mmmm")</f>
        <v>febrero</v>
      </c>
      <c r="K10" s="37" t="s">
        <v>143</v>
      </c>
      <c r="L10" s="23">
        <v>23</v>
      </c>
      <c r="M10" s="38" t="s">
        <v>123</v>
      </c>
      <c r="N10" s="38" t="s">
        <v>123</v>
      </c>
      <c r="O10" s="38" t="s">
        <v>185</v>
      </c>
      <c r="P10" s="38"/>
      <c r="Q10" s="47">
        <v>19</v>
      </c>
      <c r="R10" s="102">
        <v>2</v>
      </c>
      <c r="S10" s="105">
        <v>37.36</v>
      </c>
      <c r="T10" s="102">
        <v>99</v>
      </c>
      <c r="U10" s="102">
        <v>2</v>
      </c>
      <c r="V10" s="105">
        <v>10.57</v>
      </c>
      <c r="W1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37.36'' W 99° 02' 10.57''</v>
      </c>
      <c r="X10" s="44">
        <v>2963</v>
      </c>
      <c r="Y10" s="19">
        <v>0</v>
      </c>
      <c r="Z10" s="19">
        <v>0</v>
      </c>
      <c r="AA10" s="19">
        <v>0.27</v>
      </c>
      <c r="AB10" s="19">
        <v>2</v>
      </c>
      <c r="AC10" s="19">
        <v>0</v>
      </c>
      <c r="AD10" s="19">
        <v>0</v>
      </c>
      <c r="AE10" s="19">
        <f>SUM(tbSabana2016[[#This Row],[Arbolado Adulto (HA)]:[Suelo Orgánico (HA)]])</f>
        <v>2.27</v>
      </c>
      <c r="AF10" s="9">
        <f t="shared" si="1"/>
        <v>10.82</v>
      </c>
      <c r="AG10" s="9">
        <f>tbSabana2016[[#This Row],[Acumulado (HA)]]/tbSabana2016[[#This Row],[Incendio en el AÑO]]</f>
        <v>1.8033333333333335</v>
      </c>
      <c r="AH10" s="2" t="s">
        <v>147</v>
      </c>
      <c r="AI10" s="2" t="s">
        <v>186</v>
      </c>
      <c r="AJ10" s="2" t="s">
        <v>133</v>
      </c>
      <c r="AK10" s="2" t="s">
        <v>149</v>
      </c>
      <c r="AL10" s="2" t="s">
        <v>150</v>
      </c>
      <c r="AM10" s="2" t="s">
        <v>151</v>
      </c>
      <c r="AN10" s="32">
        <v>43497.548611111109</v>
      </c>
      <c r="AO10" s="32">
        <v>43497.552083333336</v>
      </c>
      <c r="AP10" s="32">
        <v>43497.555555555555</v>
      </c>
      <c r="AQ10" s="32">
        <v>43497.688888888886</v>
      </c>
      <c r="AR10" s="32">
        <v>43497.690972222219</v>
      </c>
      <c r="AS10" s="32"/>
      <c r="AT10" s="32">
        <v>42401.791666666664</v>
      </c>
      <c r="AU10" s="32">
        <v>43497.833333333336</v>
      </c>
      <c r="AV10" s="32">
        <v>43497.958333333336</v>
      </c>
      <c r="AW10" s="40">
        <v>0.28472222222222221</v>
      </c>
      <c r="AX10" s="39">
        <v>3.472222222222222E-3</v>
      </c>
      <c r="AY10" s="39">
        <v>0.13680555555555554</v>
      </c>
      <c r="AZ10" s="40">
        <f>SUM(tbSabana2016[[#This Row],[Duración]])</f>
        <v>0.28472222222222221</v>
      </c>
      <c r="BA10" s="2">
        <v>0.05</v>
      </c>
      <c r="BB10" s="2">
        <v>0.08</v>
      </c>
      <c r="BC10" s="2">
        <v>0</v>
      </c>
      <c r="BD10" s="2">
        <v>0.03</v>
      </c>
      <c r="BE10" s="2">
        <v>0.05</v>
      </c>
      <c r="BF10" s="2">
        <v>0</v>
      </c>
      <c r="BG10" s="2">
        <v>0</v>
      </c>
      <c r="BH10" s="2">
        <v>0.2</v>
      </c>
      <c r="BI10" s="2">
        <v>0</v>
      </c>
      <c r="BJ10" s="2" t="s">
        <v>179</v>
      </c>
      <c r="BK10" s="2">
        <v>0</v>
      </c>
      <c r="BL10" s="2">
        <v>1</v>
      </c>
      <c r="BM10" s="2">
        <v>0</v>
      </c>
      <c r="BN10" s="2">
        <v>1</v>
      </c>
      <c r="BO10" s="2">
        <v>0</v>
      </c>
      <c r="BP10" s="2">
        <v>0</v>
      </c>
      <c r="BQ10" s="2">
        <v>0</v>
      </c>
      <c r="BR10" s="2">
        <v>0</v>
      </c>
      <c r="BS10" s="2"/>
      <c r="BT10" s="2">
        <v>19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3">
        <f t="shared" si="2"/>
        <v>19</v>
      </c>
      <c r="CO10" s="10">
        <f t="shared" si="6"/>
        <v>81</v>
      </c>
      <c r="CP10" s="10">
        <f t="shared" si="3"/>
        <v>19</v>
      </c>
      <c r="CQ10" s="24">
        <f>SUM(tbSabana2016[[#This Row],[Voluntarios]])</f>
        <v>0</v>
      </c>
      <c r="CR10" s="8">
        <f>tbSabana2016[[#This Row],[CONAFOR (Oficiales)]]*383</f>
        <v>7277</v>
      </c>
      <c r="CS10" s="8">
        <f>(tbSabana2016[[#This Row],[Total (Oficiales)]]-tbSabana2016[[#This Row],[CONAFOR (Oficiales)]])*217</f>
        <v>0</v>
      </c>
      <c r="CT10" s="8">
        <f>SUM(tbSabana2016[[#This Row],[Costo CONAFOR]:[Costo Otros]])</f>
        <v>7277</v>
      </c>
      <c r="CU10" s="8">
        <v>1000</v>
      </c>
      <c r="CV10" s="8">
        <f t="shared" si="4"/>
        <v>8277</v>
      </c>
      <c r="CW10" s="2">
        <v>22</v>
      </c>
      <c r="CX10" s="2">
        <v>20</v>
      </c>
      <c r="CY10" s="69">
        <v>0.15</v>
      </c>
      <c r="CZ10" s="2" t="s">
        <v>154</v>
      </c>
      <c r="DA10" s="2" t="s">
        <v>172</v>
      </c>
      <c r="DB10" s="2" t="s">
        <v>155</v>
      </c>
      <c r="DC10" s="2" t="s">
        <v>156</v>
      </c>
      <c r="DD10" s="2" t="s">
        <v>157</v>
      </c>
      <c r="DE10" s="2" t="s">
        <v>158</v>
      </c>
      <c r="DF10" s="2" t="s">
        <v>159</v>
      </c>
      <c r="DG10" s="2" t="s">
        <v>160</v>
      </c>
      <c r="DH10" s="2">
        <v>0</v>
      </c>
      <c r="DI10" s="2">
        <v>0</v>
      </c>
      <c r="DJ10" s="2">
        <v>0.27</v>
      </c>
      <c r="DK10" s="2">
        <v>2</v>
      </c>
      <c r="DL10" s="2">
        <v>0</v>
      </c>
      <c r="DM10" s="2">
        <v>0</v>
      </c>
      <c r="DN10" s="2">
        <f t="shared" si="5"/>
        <v>2.27</v>
      </c>
      <c r="DO10" s="29"/>
      <c r="DP10" s="30"/>
      <c r="DQ10" s="30"/>
      <c r="DR10" s="30"/>
      <c r="DS10" s="30"/>
      <c r="DT10" s="30"/>
      <c r="DU10" s="30"/>
      <c r="DV10" s="30"/>
    </row>
    <row r="11" spans="1:126" s="31" customFormat="1" ht="15.75" customHeight="1" x14ac:dyDescent="0.25">
      <c r="A11" s="2" t="s">
        <v>195</v>
      </c>
      <c r="B11" s="25">
        <v>7</v>
      </c>
      <c r="C11" s="35">
        <v>43498</v>
      </c>
      <c r="D11" s="41">
        <v>43499</v>
      </c>
      <c r="E11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1" s="2">
        <v>2</v>
      </c>
      <c r="G11" s="2">
        <v>1</v>
      </c>
      <c r="H11" s="47">
        <f>WEEKNUM(tbSabana2016[[#This Row],[Fecha de Inicio]],15)</f>
        <v>6</v>
      </c>
      <c r="I11" s="36" t="str">
        <f>TEXT(tbSabana2016[[#This Row],[Fecha de Inicio]],"dddd")</f>
        <v>sábado</v>
      </c>
      <c r="J11" s="36" t="str">
        <f>TEXT(tbSabana2016[[#This Row],[Fecha de Inicio]],"mmmm")</f>
        <v>febrero</v>
      </c>
      <c r="K11" s="37" t="s">
        <v>143</v>
      </c>
      <c r="L11" s="23">
        <v>23</v>
      </c>
      <c r="M11" s="38" t="s">
        <v>123</v>
      </c>
      <c r="N11" s="38" t="s">
        <v>123</v>
      </c>
      <c r="O11" s="38" t="s">
        <v>185</v>
      </c>
      <c r="P11" s="38"/>
      <c r="Q11" s="47">
        <v>19</v>
      </c>
      <c r="R11" s="102">
        <v>3</v>
      </c>
      <c r="S11" s="105">
        <v>2.46</v>
      </c>
      <c r="T11" s="102">
        <v>99</v>
      </c>
      <c r="U11" s="102">
        <v>2</v>
      </c>
      <c r="V11" s="105">
        <v>56.37</v>
      </c>
      <c r="W1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02.46'' W 99° 02' 56.37''</v>
      </c>
      <c r="X11" s="44">
        <v>3025</v>
      </c>
      <c r="Y11" s="19">
        <v>0</v>
      </c>
      <c r="Z11" s="19">
        <v>0</v>
      </c>
      <c r="AA11" s="19">
        <v>4</v>
      </c>
      <c r="AB11" s="19">
        <v>25</v>
      </c>
      <c r="AC11" s="19">
        <v>3.44</v>
      </c>
      <c r="AD11" s="19">
        <v>0</v>
      </c>
      <c r="AE11" s="19">
        <f>SUM(tbSabana2016[[#This Row],[Arbolado Adulto (HA)]:[Suelo Orgánico (HA)]])</f>
        <v>32.44</v>
      </c>
      <c r="AF11" s="9">
        <f t="shared" ref="AF11:AF17" si="7">SUM(AF10,AE11)</f>
        <v>43.26</v>
      </c>
      <c r="AG11" s="9">
        <f>tbSabana2016[[#This Row],[Acumulado (HA)]]/tbSabana2016[[#This Row],[Incendio en el AÑO]]</f>
        <v>6.18</v>
      </c>
      <c r="AH11" s="2" t="s">
        <v>147</v>
      </c>
      <c r="AI11" s="2" t="s">
        <v>165</v>
      </c>
      <c r="AJ11" s="2" t="s">
        <v>133</v>
      </c>
      <c r="AK11" s="2" t="s">
        <v>149</v>
      </c>
      <c r="AL11" s="2" t="s">
        <v>150</v>
      </c>
      <c r="AM11" s="2" t="s">
        <v>205</v>
      </c>
      <c r="AN11" s="32">
        <v>43498.565972222219</v>
      </c>
      <c r="AO11" s="32">
        <v>43498.569444444445</v>
      </c>
      <c r="AP11" s="32">
        <v>43498.574305555558</v>
      </c>
      <c r="AQ11" s="32">
        <v>43498.708333333336</v>
      </c>
      <c r="AR11" s="32">
        <v>43498.715277777781</v>
      </c>
      <c r="AS11" s="32"/>
      <c r="AT11" s="32">
        <v>43499.645833333336</v>
      </c>
      <c r="AU11" s="32">
        <v>43499.729166666664</v>
      </c>
      <c r="AV11" s="32">
        <v>43499.916666666664</v>
      </c>
      <c r="AW11" s="40">
        <v>1.1631944444444444</v>
      </c>
      <c r="AX11" s="39">
        <v>3.472222222222222E-3</v>
      </c>
      <c r="AY11" s="39">
        <v>0.1388888888888889</v>
      </c>
      <c r="AZ11" s="40">
        <f>SUM(tbSabana2016[[#This Row],[Duración]])</f>
        <v>1.1631944444444444</v>
      </c>
      <c r="BA11" s="2">
        <v>0.3</v>
      </c>
      <c r="BB11" s="2">
        <v>0.25</v>
      </c>
      <c r="BC11" s="2">
        <v>0</v>
      </c>
      <c r="BD11" s="2">
        <v>0</v>
      </c>
      <c r="BE11" s="2">
        <v>0.2</v>
      </c>
      <c r="BF11" s="2">
        <v>0</v>
      </c>
      <c r="BG11" s="2">
        <v>0</v>
      </c>
      <c r="BH11" s="2">
        <v>0</v>
      </c>
      <c r="BI11" s="2">
        <v>0</v>
      </c>
      <c r="BJ11" s="2" t="s">
        <v>206</v>
      </c>
      <c r="BK11" s="2">
        <v>1</v>
      </c>
      <c r="BL11" s="2">
        <v>0</v>
      </c>
      <c r="BM11" s="2">
        <v>1</v>
      </c>
      <c r="BN11" s="2">
        <v>1</v>
      </c>
      <c r="BO11" s="2">
        <v>0</v>
      </c>
      <c r="BP11" s="2">
        <v>0</v>
      </c>
      <c r="BQ11" s="2">
        <v>0</v>
      </c>
      <c r="BR11" s="2">
        <v>0</v>
      </c>
      <c r="BS11" s="2"/>
      <c r="BT11" s="2">
        <v>33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3">
        <f t="shared" ref="CN11:CN17" si="8">SUM(BT11:CM11)</f>
        <v>33</v>
      </c>
      <c r="CO11" s="10">
        <f t="shared" si="6"/>
        <v>114</v>
      </c>
      <c r="CP11" s="10">
        <f t="shared" ref="CP11:CP17" si="9">SUM(BT11:CG11,CI11:CM11)</f>
        <v>33</v>
      </c>
      <c r="CQ11" s="24">
        <f>SUM(tbSabana2016[[#This Row],[Voluntarios]])</f>
        <v>0</v>
      </c>
      <c r="CR11" s="8">
        <f>tbSabana2016[[#This Row],[CONAFOR (Oficiales)]]*383</f>
        <v>12639</v>
      </c>
      <c r="CS11" s="8">
        <f>(tbSabana2016[[#This Row],[Total (Oficiales)]]-tbSabana2016[[#This Row],[CONAFOR (Oficiales)]])*217</f>
        <v>0</v>
      </c>
      <c r="CT11" s="8">
        <f>SUM(tbSabana2016[[#This Row],[Costo CONAFOR]:[Costo Otros]])</f>
        <v>12639</v>
      </c>
      <c r="CU11" s="8">
        <v>1596</v>
      </c>
      <c r="CV11" s="8">
        <f t="shared" ref="CV11:CV17" si="10">SUM(CT11:CU11)</f>
        <v>14235</v>
      </c>
      <c r="CW11" s="2" t="s">
        <v>154</v>
      </c>
      <c r="CX11" s="2" t="s">
        <v>154</v>
      </c>
      <c r="CY11" s="69" t="s">
        <v>154</v>
      </c>
      <c r="CZ11" s="2" t="s">
        <v>154</v>
      </c>
      <c r="DA11" s="2" t="s">
        <v>172</v>
      </c>
      <c r="DB11" s="2" t="s">
        <v>155</v>
      </c>
      <c r="DC11" s="2" t="s">
        <v>156</v>
      </c>
      <c r="DD11" s="2" t="s">
        <v>157</v>
      </c>
      <c r="DE11" s="2" t="s">
        <v>170</v>
      </c>
      <c r="DF11" s="2" t="s">
        <v>159</v>
      </c>
      <c r="DG11" s="2" t="s">
        <v>171</v>
      </c>
      <c r="DH11" s="2">
        <v>0</v>
      </c>
      <c r="DI11" s="2">
        <v>0</v>
      </c>
      <c r="DJ11" s="2">
        <v>4</v>
      </c>
      <c r="DK11" s="2">
        <v>25</v>
      </c>
      <c r="DL11" s="2">
        <v>3.44</v>
      </c>
      <c r="DM11" s="2">
        <v>0</v>
      </c>
      <c r="DN11" s="2">
        <f t="shared" ref="DN11:DN17" si="11">SUM(DH11:DM11)</f>
        <v>32.44</v>
      </c>
      <c r="DO11" s="29"/>
      <c r="DP11" s="30"/>
      <c r="DQ11" s="30"/>
      <c r="DR11" s="30"/>
      <c r="DS11" s="30"/>
      <c r="DT11" s="30"/>
      <c r="DU11" s="30"/>
      <c r="DV11" s="30"/>
    </row>
    <row r="12" spans="1:126" s="31" customFormat="1" ht="15.75" customHeight="1" x14ac:dyDescent="0.25">
      <c r="A12" s="2" t="s">
        <v>196</v>
      </c>
      <c r="B12" s="25">
        <v>8</v>
      </c>
      <c r="C12" s="35">
        <v>43498</v>
      </c>
      <c r="D12" s="41">
        <v>43498</v>
      </c>
      <c r="E1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" s="2">
        <v>3</v>
      </c>
      <c r="G12" s="2">
        <v>1</v>
      </c>
      <c r="H12" s="47">
        <f>WEEKNUM(tbSabana2016[[#This Row],[Fecha de Inicio]],15)</f>
        <v>6</v>
      </c>
      <c r="I12" s="36" t="str">
        <f>TEXT(tbSabana2016[[#This Row],[Fecha de Inicio]],"dddd")</f>
        <v>sábado</v>
      </c>
      <c r="J12" s="36" t="str">
        <f>TEXT(tbSabana2016[[#This Row],[Fecha de Inicio]],"mmmm")</f>
        <v>febrero</v>
      </c>
      <c r="K12" s="37" t="s">
        <v>143</v>
      </c>
      <c r="L12" s="23">
        <v>31</v>
      </c>
      <c r="M12" s="38" t="s">
        <v>197</v>
      </c>
      <c r="N12" s="38" t="s">
        <v>199</v>
      </c>
      <c r="O12" s="38" t="s">
        <v>198</v>
      </c>
      <c r="P12" s="38" t="s">
        <v>174</v>
      </c>
      <c r="Q12" s="47">
        <v>18</v>
      </c>
      <c r="R12" s="102">
        <v>37</v>
      </c>
      <c r="S12" s="105">
        <v>21.58</v>
      </c>
      <c r="T12" s="102">
        <v>99</v>
      </c>
      <c r="U12" s="102">
        <v>14</v>
      </c>
      <c r="V12" s="105">
        <v>9.06</v>
      </c>
      <c r="W1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37' 21.58'' W 99° 14' 09.06''</v>
      </c>
      <c r="X12" s="44">
        <v>1119</v>
      </c>
      <c r="Y12" s="19">
        <v>0</v>
      </c>
      <c r="Z12" s="19">
        <v>0</v>
      </c>
      <c r="AA12" s="19">
        <v>7.47</v>
      </c>
      <c r="AB12" s="19">
        <v>26</v>
      </c>
      <c r="AC12" s="19">
        <v>0</v>
      </c>
      <c r="AD12" s="19">
        <v>0</v>
      </c>
      <c r="AE12" s="19">
        <f>SUM(tbSabana2016[[#This Row],[Arbolado Adulto (HA)]:[Suelo Orgánico (HA)]])</f>
        <v>33.47</v>
      </c>
      <c r="AF12" s="9">
        <f t="shared" si="7"/>
        <v>76.72999999999999</v>
      </c>
      <c r="AG12" s="9">
        <f>tbSabana2016[[#This Row],[Acumulado (HA)]]/tbSabana2016[[#This Row],[Incendio en el AÑO]]</f>
        <v>9.5912499999999987</v>
      </c>
      <c r="AH12" s="2" t="s">
        <v>147</v>
      </c>
      <c r="AI12" s="2" t="s">
        <v>148</v>
      </c>
      <c r="AJ12" s="2" t="s">
        <v>134</v>
      </c>
      <c r="AK12" s="2" t="s">
        <v>200</v>
      </c>
      <c r="AL12" s="2" t="s">
        <v>201</v>
      </c>
      <c r="AM12" s="2" t="s">
        <v>151</v>
      </c>
      <c r="AN12" s="32">
        <v>43498.597222222219</v>
      </c>
      <c r="AO12" s="32">
        <v>43498.600694444445</v>
      </c>
      <c r="AP12" s="32">
        <v>43498.604166666664</v>
      </c>
      <c r="AQ12" s="32">
        <v>43498.659722222219</v>
      </c>
      <c r="AR12" s="32">
        <v>43498.666666666664</v>
      </c>
      <c r="AS12" s="32"/>
      <c r="AT12" s="32">
        <v>43498.833333333336</v>
      </c>
      <c r="AU12" s="32">
        <v>43498.854166666664</v>
      </c>
      <c r="AV12" s="32">
        <v>43498.916666666664</v>
      </c>
      <c r="AW12" s="40">
        <v>0.25694444444444448</v>
      </c>
      <c r="AX12" s="39">
        <v>3.472222222222222E-3</v>
      </c>
      <c r="AY12" s="39">
        <v>5.9027777777777783E-2</v>
      </c>
      <c r="AZ12" s="40">
        <f>SUM(tbSabana2016[[#This Row],[Duración]])</f>
        <v>0.25694444444444448</v>
      </c>
      <c r="BA12" s="2">
        <v>0.3</v>
      </c>
      <c r="BB12" s="2">
        <v>0.5</v>
      </c>
      <c r="BC12" s="2">
        <v>0</v>
      </c>
      <c r="BD12" s="2">
        <v>0</v>
      </c>
      <c r="BE12" s="2">
        <v>0</v>
      </c>
      <c r="BF12" s="2">
        <v>0</v>
      </c>
      <c r="BG12" s="2">
        <v>0.4</v>
      </c>
      <c r="BH12" s="2">
        <v>0.4</v>
      </c>
      <c r="BI12" s="2">
        <v>0</v>
      </c>
      <c r="BJ12" s="2" t="s">
        <v>181</v>
      </c>
      <c r="BK12" s="2">
        <v>0</v>
      </c>
      <c r="BL12" s="2">
        <v>1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 t="s">
        <v>253</v>
      </c>
      <c r="BT12" s="2">
        <v>9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5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3">
        <f t="shared" si="8"/>
        <v>14</v>
      </c>
      <c r="CO12" s="10">
        <f t="shared" si="6"/>
        <v>128</v>
      </c>
      <c r="CP12" s="10">
        <f t="shared" si="9"/>
        <v>14</v>
      </c>
      <c r="CQ12" s="24">
        <f>SUM(tbSabana2016[[#This Row],[Voluntarios]])</f>
        <v>0</v>
      </c>
      <c r="CR12" s="8">
        <f>tbSabana2016[[#This Row],[CONAFOR (Oficiales)]]*383</f>
        <v>3447</v>
      </c>
      <c r="CS12" s="8">
        <f>(tbSabana2016[[#This Row],[Total (Oficiales)]]-tbSabana2016[[#This Row],[CONAFOR (Oficiales)]])*217</f>
        <v>1085</v>
      </c>
      <c r="CT12" s="8">
        <f>SUM(tbSabana2016[[#This Row],[Costo CONAFOR]:[Costo Otros]])</f>
        <v>4532</v>
      </c>
      <c r="CU12" s="8">
        <v>342</v>
      </c>
      <c r="CV12" s="8">
        <f t="shared" si="10"/>
        <v>4874</v>
      </c>
      <c r="CW12" s="2" t="s">
        <v>154</v>
      </c>
      <c r="CX12" s="2" t="s">
        <v>154</v>
      </c>
      <c r="CY12" s="69" t="s">
        <v>154</v>
      </c>
      <c r="CZ12" s="2" t="s">
        <v>154</v>
      </c>
      <c r="DA12" s="2" t="s">
        <v>172</v>
      </c>
      <c r="DB12" s="2" t="s">
        <v>155</v>
      </c>
      <c r="DC12" s="2" t="s">
        <v>168</v>
      </c>
      <c r="DD12" s="2" t="s">
        <v>169</v>
      </c>
      <c r="DE12" s="2" t="s">
        <v>202</v>
      </c>
      <c r="DF12" s="2" t="s">
        <v>159</v>
      </c>
      <c r="DG12" s="2" t="s">
        <v>203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f t="shared" si="11"/>
        <v>0</v>
      </c>
      <c r="DO12" s="29"/>
      <c r="DP12" s="30"/>
      <c r="DQ12" s="30"/>
      <c r="DR12" s="30"/>
      <c r="DS12" s="30"/>
      <c r="DT12" s="30"/>
      <c r="DU12" s="30"/>
      <c r="DV12" s="30"/>
    </row>
    <row r="13" spans="1:126" s="31" customFormat="1" ht="15.75" customHeight="1" x14ac:dyDescent="0.25">
      <c r="A13" s="2" t="s">
        <v>207</v>
      </c>
      <c r="B13" s="25">
        <v>9</v>
      </c>
      <c r="C13" s="35">
        <v>43480</v>
      </c>
      <c r="D13" s="41">
        <v>43480</v>
      </c>
      <c r="E1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3" s="2">
        <v>6</v>
      </c>
      <c r="G13" s="2">
        <v>1</v>
      </c>
      <c r="H13" s="47">
        <f>WEEKNUM(tbSabana2016[[#This Row],[Fecha de Inicio]],15)</f>
        <v>3</v>
      </c>
      <c r="I13" s="36" t="str">
        <f>TEXT(tbSabana2016[[#This Row],[Fecha de Inicio]],"dddd")</f>
        <v>martes</v>
      </c>
      <c r="J13" s="36" t="str">
        <f>TEXT(tbSabana2016[[#This Row],[Fecha de Inicio]],"mmmm")</f>
        <v>enero</v>
      </c>
      <c r="K13" s="37" t="s">
        <v>143</v>
      </c>
      <c r="L13" s="23">
        <v>20</v>
      </c>
      <c r="M13" s="38" t="s">
        <v>162</v>
      </c>
      <c r="N13" s="38" t="s">
        <v>212</v>
      </c>
      <c r="O13" s="38" t="s">
        <v>213</v>
      </c>
      <c r="P13" s="38"/>
      <c r="Q13" s="47">
        <v>18</v>
      </c>
      <c r="R13" s="102">
        <v>55</v>
      </c>
      <c r="S13" s="105">
        <v>44.83</v>
      </c>
      <c r="T13" s="102">
        <v>99</v>
      </c>
      <c r="U13" s="102">
        <v>3</v>
      </c>
      <c r="V13" s="105">
        <v>41.3</v>
      </c>
      <c r="W1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55' 44.83'' W 99° 03' 41.30''</v>
      </c>
      <c r="X13" s="44">
        <v>1294</v>
      </c>
      <c r="Y13" s="19">
        <v>0</v>
      </c>
      <c r="Z13" s="19">
        <v>0</v>
      </c>
      <c r="AA13" s="19">
        <v>20.37</v>
      </c>
      <c r="AB13" s="19">
        <v>54</v>
      </c>
      <c r="AC13" s="19">
        <v>0</v>
      </c>
      <c r="AD13" s="19">
        <v>0</v>
      </c>
      <c r="AE13" s="19">
        <f>SUM(tbSabana2016[[#This Row],[Arbolado Adulto (HA)]:[Suelo Orgánico (HA)]])</f>
        <v>74.37</v>
      </c>
      <c r="AF13" s="9">
        <f t="shared" si="7"/>
        <v>151.1</v>
      </c>
      <c r="AG13" s="9">
        <f>tbSabana2016[[#This Row],[Acumulado (HA)]]/tbSabana2016[[#This Row],[Incendio en el AÑO]]</f>
        <v>16.788888888888888</v>
      </c>
      <c r="AH13" s="2" t="s">
        <v>147</v>
      </c>
      <c r="AI13" s="2" t="s">
        <v>148</v>
      </c>
      <c r="AJ13" s="2" t="s">
        <v>134</v>
      </c>
      <c r="AK13" s="2" t="s">
        <v>214</v>
      </c>
      <c r="AL13" s="2" t="s">
        <v>150</v>
      </c>
      <c r="AM13" s="2" t="s">
        <v>151</v>
      </c>
      <c r="AN13" s="32">
        <v>43480.416666666664</v>
      </c>
      <c r="AO13" s="32">
        <v>43480.451388888891</v>
      </c>
      <c r="AP13" s="32">
        <v>43480.5625</v>
      </c>
      <c r="AQ13" s="32">
        <v>43480.572916666664</v>
      </c>
      <c r="AR13" s="32">
        <v>43480.583333333336</v>
      </c>
      <c r="AS13" s="32"/>
      <c r="AT13" s="32">
        <v>43480.770833333336</v>
      </c>
      <c r="AU13" s="32">
        <v>43480.8125</v>
      </c>
      <c r="AV13" s="32">
        <v>43480.881944444445</v>
      </c>
      <c r="AW13" s="40">
        <v>0.39583333333333331</v>
      </c>
      <c r="AX13" s="39">
        <v>3.4722222222222224E-2</v>
      </c>
      <c r="AY13" s="39">
        <v>0.12152777777777778</v>
      </c>
      <c r="AZ13" s="40">
        <f>SUM(tbSabana2016[[#This Row],[Duración]])</f>
        <v>0.39583333333333331</v>
      </c>
      <c r="BA13" s="2">
        <v>0.2</v>
      </c>
      <c r="BB13" s="2">
        <v>0.3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0.5</v>
      </c>
      <c r="BI13" s="2">
        <v>0</v>
      </c>
      <c r="BJ13" s="2" t="s">
        <v>215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 t="s">
        <v>216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6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3">
        <f t="shared" si="8"/>
        <v>6</v>
      </c>
      <c r="CO13" s="10">
        <f t="shared" si="6"/>
        <v>134</v>
      </c>
      <c r="CP13" s="10">
        <f t="shared" si="9"/>
        <v>6</v>
      </c>
      <c r="CQ13" s="24">
        <f>SUM(tbSabana2016[[#This Row],[Voluntarios]])</f>
        <v>0</v>
      </c>
      <c r="CR13" s="8">
        <f>tbSabana2016[[#This Row],[CONAFOR (Oficiales)]]*383</f>
        <v>0</v>
      </c>
      <c r="CS13" s="8">
        <f>(tbSabana2016[[#This Row],[Total (Oficiales)]]-tbSabana2016[[#This Row],[CONAFOR (Oficiales)]])*217</f>
        <v>1302</v>
      </c>
      <c r="CT13" s="8">
        <f>SUM(tbSabana2016[[#This Row],[Costo CONAFOR]:[Costo Otros]])</f>
        <v>1302</v>
      </c>
      <c r="CU13" s="8">
        <v>133</v>
      </c>
      <c r="CV13" s="8">
        <f t="shared" si="10"/>
        <v>1435</v>
      </c>
      <c r="CW13" s="2" t="s">
        <v>154</v>
      </c>
      <c r="CX13" s="2" t="s">
        <v>154</v>
      </c>
      <c r="CY13" s="69" t="s">
        <v>154</v>
      </c>
      <c r="CZ13" s="2" t="s">
        <v>154</v>
      </c>
      <c r="DA13" s="2" t="s">
        <v>172</v>
      </c>
      <c r="DB13" s="2" t="s">
        <v>155</v>
      </c>
      <c r="DC13" s="2" t="s">
        <v>168</v>
      </c>
      <c r="DD13" s="2" t="s">
        <v>169</v>
      </c>
      <c r="DE13" s="2" t="s">
        <v>170</v>
      </c>
      <c r="DF13" s="2" t="s">
        <v>159</v>
      </c>
      <c r="DG13" s="2" t="s">
        <v>171</v>
      </c>
      <c r="DH13" s="2">
        <v>0</v>
      </c>
      <c r="DI13" s="2">
        <v>0</v>
      </c>
      <c r="DJ13" s="2">
        <v>20.76</v>
      </c>
      <c r="DK13" s="2">
        <v>53</v>
      </c>
      <c r="DL13" s="2">
        <v>0</v>
      </c>
      <c r="DM13" s="2">
        <v>0</v>
      </c>
      <c r="DN13" s="2">
        <f t="shared" si="11"/>
        <v>73.760000000000005</v>
      </c>
      <c r="DO13" s="29"/>
      <c r="DP13" s="30"/>
      <c r="DQ13" s="30"/>
      <c r="DR13" s="30"/>
      <c r="DS13" s="30"/>
      <c r="DT13" s="30"/>
      <c r="DU13" s="30"/>
      <c r="DV13" s="30"/>
    </row>
    <row r="14" spans="1:126" s="31" customFormat="1" ht="15.75" customHeight="1" x14ac:dyDescent="0.25">
      <c r="A14" s="2" t="s">
        <v>208</v>
      </c>
      <c r="B14" s="25">
        <v>10</v>
      </c>
      <c r="C14" s="35">
        <v>43499</v>
      </c>
      <c r="D14" s="41">
        <v>43499</v>
      </c>
      <c r="E1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4" s="2">
        <v>4</v>
      </c>
      <c r="G14" s="2">
        <v>1</v>
      </c>
      <c r="H14" s="47">
        <f>WEEKNUM(tbSabana2016[[#This Row],[Fecha de Inicio]],15)</f>
        <v>6</v>
      </c>
      <c r="I14" s="36" t="str">
        <f>TEXT(tbSabana2016[[#This Row],[Fecha de Inicio]],"dddd")</f>
        <v>domingo</v>
      </c>
      <c r="J14" s="36" t="str">
        <f>TEXT(tbSabana2016[[#This Row],[Fecha de Inicio]],"mmmm")</f>
        <v>febrero</v>
      </c>
      <c r="K14" s="37" t="s">
        <v>143</v>
      </c>
      <c r="L14" s="23">
        <v>31</v>
      </c>
      <c r="M14" s="38" t="s">
        <v>197</v>
      </c>
      <c r="N14" s="38" t="s">
        <v>197</v>
      </c>
      <c r="O14" s="38" t="s">
        <v>217</v>
      </c>
      <c r="P14" s="38"/>
      <c r="Q14" s="47">
        <v>18</v>
      </c>
      <c r="R14" s="102">
        <v>37</v>
      </c>
      <c r="S14" s="105">
        <v>34.49</v>
      </c>
      <c r="T14" s="102">
        <v>99</v>
      </c>
      <c r="U14" s="102">
        <v>13</v>
      </c>
      <c r="V14" s="105">
        <v>44.26</v>
      </c>
      <c r="W1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37' 34.49'' W 99° 13' 44.26''</v>
      </c>
      <c r="X14" s="44">
        <v>1074</v>
      </c>
      <c r="Y14" s="19">
        <v>0</v>
      </c>
      <c r="Z14" s="19">
        <v>0</v>
      </c>
      <c r="AA14" s="19">
        <v>0</v>
      </c>
      <c r="AB14" s="19">
        <v>0.9</v>
      </c>
      <c r="AC14" s="19">
        <v>0</v>
      </c>
      <c r="AD14" s="19">
        <v>0</v>
      </c>
      <c r="AE14" s="19">
        <f>SUM(tbSabana2016[[#This Row],[Arbolado Adulto (HA)]:[Suelo Orgánico (HA)]])</f>
        <v>0.9</v>
      </c>
      <c r="AF14" s="9">
        <f t="shared" si="7"/>
        <v>152</v>
      </c>
      <c r="AG14" s="9">
        <f>tbSabana2016[[#This Row],[Acumulado (HA)]]/tbSabana2016[[#This Row],[Incendio en el AÑO]]</f>
        <v>15.2</v>
      </c>
      <c r="AH14" s="2" t="s">
        <v>147</v>
      </c>
      <c r="AI14" s="2" t="s">
        <v>165</v>
      </c>
      <c r="AJ14" s="2" t="s">
        <v>134</v>
      </c>
      <c r="AK14" s="2" t="s">
        <v>183</v>
      </c>
      <c r="AL14" s="2" t="s">
        <v>201</v>
      </c>
      <c r="AM14" s="2" t="s">
        <v>151</v>
      </c>
      <c r="AN14" s="32">
        <v>43499.534722222219</v>
      </c>
      <c r="AO14" s="32">
        <v>43499.538194444445</v>
      </c>
      <c r="AP14" s="32">
        <v>43499.541666666664</v>
      </c>
      <c r="AQ14" s="32">
        <v>43499.597222222219</v>
      </c>
      <c r="AR14" s="32">
        <v>43499.600694444445</v>
      </c>
      <c r="AS14" s="32"/>
      <c r="AT14" s="32">
        <v>43499.708333333336</v>
      </c>
      <c r="AU14" s="32">
        <v>43499.791666666664</v>
      </c>
      <c r="AV14" s="32">
        <v>43499.833333333336</v>
      </c>
      <c r="AW14" s="40">
        <v>0.25694444444444448</v>
      </c>
      <c r="AX14" s="39">
        <v>3.472222222222222E-3</v>
      </c>
      <c r="AY14" s="39">
        <v>5.9027777777777783E-2</v>
      </c>
      <c r="AZ14" s="40">
        <f>SUM(tbSabana2016[[#This Row],[Duración]])</f>
        <v>0.25694444444444448</v>
      </c>
      <c r="BA14" s="2">
        <v>0.1</v>
      </c>
      <c r="BB14" s="2">
        <v>0.12</v>
      </c>
      <c r="BC14" s="2">
        <v>0</v>
      </c>
      <c r="BD14" s="2">
        <v>0</v>
      </c>
      <c r="BE14" s="2">
        <v>0.1</v>
      </c>
      <c r="BF14" s="2">
        <v>0</v>
      </c>
      <c r="BG14" s="2">
        <v>0</v>
      </c>
      <c r="BH14" s="2">
        <v>0.18</v>
      </c>
      <c r="BI14" s="2">
        <v>0</v>
      </c>
      <c r="BJ14" s="2" t="s">
        <v>179</v>
      </c>
      <c r="BK14" s="2">
        <v>0</v>
      </c>
      <c r="BL14" s="2">
        <v>0</v>
      </c>
      <c r="BM14" s="2">
        <v>0</v>
      </c>
      <c r="BN14" s="2">
        <v>1</v>
      </c>
      <c r="BO14" s="2">
        <v>0</v>
      </c>
      <c r="BP14" s="2">
        <v>0</v>
      </c>
      <c r="BQ14" s="2">
        <v>0</v>
      </c>
      <c r="BR14" s="2">
        <v>0</v>
      </c>
      <c r="BS14" s="2"/>
      <c r="BT14" s="2">
        <v>10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3">
        <f t="shared" si="8"/>
        <v>10</v>
      </c>
      <c r="CO14" s="10">
        <f t="shared" si="6"/>
        <v>144</v>
      </c>
      <c r="CP14" s="10">
        <f t="shared" si="9"/>
        <v>10</v>
      </c>
      <c r="CQ14" s="24">
        <f>SUM(tbSabana2016[[#This Row],[Voluntarios]])</f>
        <v>0</v>
      </c>
      <c r="CR14" s="8">
        <f>tbSabana2016[[#This Row],[CONAFOR (Oficiales)]]*383</f>
        <v>3830</v>
      </c>
      <c r="CS14" s="8">
        <f>(tbSabana2016[[#This Row],[Total (Oficiales)]]-tbSabana2016[[#This Row],[CONAFOR (Oficiales)]])*217</f>
        <v>0</v>
      </c>
      <c r="CT14" s="8">
        <f>SUM(tbSabana2016[[#This Row],[Costo CONAFOR]:[Costo Otros]])</f>
        <v>3830</v>
      </c>
      <c r="CU14" s="8">
        <v>475</v>
      </c>
      <c r="CV14" s="8">
        <f t="shared" si="10"/>
        <v>4305</v>
      </c>
      <c r="CW14" s="2" t="s">
        <v>154</v>
      </c>
      <c r="CX14" s="2" t="s">
        <v>154</v>
      </c>
      <c r="CY14" s="69" t="s">
        <v>154</v>
      </c>
      <c r="CZ14" s="2" t="s">
        <v>154</v>
      </c>
      <c r="DA14" s="2" t="s">
        <v>172</v>
      </c>
      <c r="DB14" s="2" t="s">
        <v>155</v>
      </c>
      <c r="DC14" s="2" t="s">
        <v>168</v>
      </c>
      <c r="DD14" s="2" t="s">
        <v>169</v>
      </c>
      <c r="DE14" s="2" t="s">
        <v>202</v>
      </c>
      <c r="DF14" s="2" t="s">
        <v>159</v>
      </c>
      <c r="DG14" s="2" t="s">
        <v>203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f t="shared" si="11"/>
        <v>0</v>
      </c>
      <c r="DO14" s="29"/>
      <c r="DP14" s="30"/>
      <c r="DQ14" s="30"/>
      <c r="DR14" s="30"/>
      <c r="DS14" s="30"/>
      <c r="DT14" s="30"/>
      <c r="DU14" s="30"/>
      <c r="DV14" s="30"/>
    </row>
    <row r="15" spans="1:126" s="31" customFormat="1" ht="15.75" customHeight="1" x14ac:dyDescent="0.25">
      <c r="A15" s="2" t="s">
        <v>209</v>
      </c>
      <c r="B15" s="25">
        <v>11</v>
      </c>
      <c r="C15" s="35">
        <v>43499</v>
      </c>
      <c r="D15" s="41">
        <v>43499</v>
      </c>
      <c r="E1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5" s="2">
        <v>5</v>
      </c>
      <c r="G15" s="2">
        <v>1</v>
      </c>
      <c r="H15" s="47">
        <f>WEEKNUM(tbSabana2016[[#This Row],[Fecha de Inicio]],15)</f>
        <v>6</v>
      </c>
      <c r="I15" s="36" t="str">
        <f>TEXT(tbSabana2016[[#This Row],[Fecha de Inicio]],"dddd")</f>
        <v>domingo</v>
      </c>
      <c r="J15" s="36" t="str">
        <f>TEXT(tbSabana2016[[#This Row],[Fecha de Inicio]],"mmmm")</f>
        <v>febrero</v>
      </c>
      <c r="K15" s="37" t="s">
        <v>143</v>
      </c>
      <c r="L15" s="23">
        <v>20</v>
      </c>
      <c r="M15" s="38" t="s">
        <v>162</v>
      </c>
      <c r="N15" s="38" t="s">
        <v>163</v>
      </c>
      <c r="O15" s="38" t="s">
        <v>218</v>
      </c>
      <c r="P15" s="38" t="s">
        <v>146</v>
      </c>
      <c r="Q15" s="47">
        <v>18</v>
      </c>
      <c r="R15" s="102">
        <v>56</v>
      </c>
      <c r="S15" s="105">
        <v>14.9</v>
      </c>
      <c r="T15" s="102">
        <v>99</v>
      </c>
      <c r="U15" s="102">
        <v>9</v>
      </c>
      <c r="V15" s="105">
        <v>20.48</v>
      </c>
      <c r="W1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14.90'' W 99° 09' 20.48''</v>
      </c>
      <c r="X15" s="44">
        <v>1530</v>
      </c>
      <c r="Y15" s="19">
        <v>0</v>
      </c>
      <c r="Z15" s="19">
        <v>0</v>
      </c>
      <c r="AA15" s="19">
        <v>0.97</v>
      </c>
      <c r="AB15" s="19">
        <v>1</v>
      </c>
      <c r="AC15" s="19">
        <v>0</v>
      </c>
      <c r="AD15" s="19">
        <v>0</v>
      </c>
      <c r="AE15" s="19">
        <f>SUM(tbSabana2016[[#This Row],[Arbolado Adulto (HA)]:[Suelo Orgánico (HA)]])</f>
        <v>1.97</v>
      </c>
      <c r="AF15" s="9">
        <f t="shared" si="7"/>
        <v>153.97</v>
      </c>
      <c r="AG15" s="9">
        <f>tbSabana2016[[#This Row],[Acumulado (HA)]]/tbSabana2016[[#This Row],[Incendio en el AÑO]]</f>
        <v>13.997272727272728</v>
      </c>
      <c r="AH15" s="2" t="s">
        <v>147</v>
      </c>
      <c r="AI15" s="2" t="s">
        <v>165</v>
      </c>
      <c r="AJ15" s="2" t="s">
        <v>135</v>
      </c>
      <c r="AK15" s="2" t="s">
        <v>175</v>
      </c>
      <c r="AL15" s="2" t="s">
        <v>150</v>
      </c>
      <c r="AM15" s="2" t="s">
        <v>151</v>
      </c>
      <c r="AN15" s="32">
        <v>43499.5625</v>
      </c>
      <c r="AO15" s="32">
        <v>43499.565972222219</v>
      </c>
      <c r="AP15" s="32">
        <v>43499.569444444445</v>
      </c>
      <c r="AQ15" s="32">
        <v>43499.607638888891</v>
      </c>
      <c r="AR15" s="32">
        <v>43499.611111111109</v>
      </c>
      <c r="AS15" s="32"/>
      <c r="AT15" s="32">
        <v>43499.729166666664</v>
      </c>
      <c r="AU15" s="32">
        <v>43499.763888888891</v>
      </c>
      <c r="AV15" s="32">
        <v>43499.8125</v>
      </c>
      <c r="AW15" s="40">
        <v>0.20138888888888887</v>
      </c>
      <c r="AX15" s="39">
        <v>3.472222222222222E-3</v>
      </c>
      <c r="AY15" s="39">
        <v>4.1666666666666664E-2</v>
      </c>
      <c r="AZ15" s="40">
        <f>SUM(tbSabana2016[[#This Row],[Duración]])</f>
        <v>0.20138888888888887</v>
      </c>
      <c r="BA15" s="2">
        <v>0.2</v>
      </c>
      <c r="BB15" s="2">
        <v>0.4</v>
      </c>
      <c r="BC15" s="2">
        <v>0</v>
      </c>
      <c r="BD15" s="2">
        <v>0</v>
      </c>
      <c r="BE15" s="2">
        <v>0</v>
      </c>
      <c r="BF15" s="2">
        <v>0</v>
      </c>
      <c r="BG15" s="2">
        <v>0.3</v>
      </c>
      <c r="BH15" s="2">
        <v>0</v>
      </c>
      <c r="BI15" s="2">
        <v>0</v>
      </c>
      <c r="BJ15" s="2" t="s">
        <v>181</v>
      </c>
      <c r="BK15" s="2">
        <v>0</v>
      </c>
      <c r="BL15" s="2">
        <v>1</v>
      </c>
      <c r="BM15" s="2">
        <v>0</v>
      </c>
      <c r="BN15" s="2">
        <v>0</v>
      </c>
      <c r="BO15" s="2">
        <v>0</v>
      </c>
      <c r="BP15" s="2">
        <v>1</v>
      </c>
      <c r="BQ15" s="2">
        <v>0</v>
      </c>
      <c r="BR15" s="2">
        <v>0</v>
      </c>
      <c r="BS15" s="2"/>
      <c r="BT15" s="2">
        <v>7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3">
        <f t="shared" si="8"/>
        <v>7</v>
      </c>
      <c r="CO15" s="10">
        <f t="shared" si="6"/>
        <v>151</v>
      </c>
      <c r="CP15" s="10">
        <f t="shared" si="9"/>
        <v>7</v>
      </c>
      <c r="CQ15" s="24">
        <f>SUM(tbSabana2016[[#This Row],[Voluntarios]])</f>
        <v>0</v>
      </c>
      <c r="CR15" s="8">
        <f>tbSabana2016[[#This Row],[CONAFOR (Oficiales)]]*383</f>
        <v>2681</v>
      </c>
      <c r="CS15" s="8">
        <f>(tbSabana2016[[#This Row],[Total (Oficiales)]]-tbSabana2016[[#This Row],[CONAFOR (Oficiales)]])*217</f>
        <v>0</v>
      </c>
      <c r="CT15" s="8">
        <f>SUM(tbSabana2016[[#This Row],[Costo CONAFOR]:[Costo Otros]])</f>
        <v>2681</v>
      </c>
      <c r="CU15" s="8">
        <v>228</v>
      </c>
      <c r="CV15" s="8">
        <f t="shared" si="10"/>
        <v>2909</v>
      </c>
      <c r="CW15" s="2" t="s">
        <v>154</v>
      </c>
      <c r="CX15" s="2" t="s">
        <v>154</v>
      </c>
      <c r="CY15" s="69" t="s">
        <v>154</v>
      </c>
      <c r="CZ15" s="2" t="s">
        <v>154</v>
      </c>
      <c r="DA15" s="2" t="s">
        <v>172</v>
      </c>
      <c r="DB15" s="2" t="s">
        <v>155</v>
      </c>
      <c r="DC15" s="2" t="s">
        <v>168</v>
      </c>
      <c r="DD15" s="2" t="s">
        <v>169</v>
      </c>
      <c r="DE15" s="2" t="s">
        <v>170</v>
      </c>
      <c r="DF15" s="2" t="s">
        <v>159</v>
      </c>
      <c r="DG15" s="2" t="s">
        <v>171</v>
      </c>
      <c r="DH15" s="2">
        <v>0</v>
      </c>
      <c r="DI15" s="2">
        <v>0</v>
      </c>
      <c r="DJ15" s="2">
        <v>0.97</v>
      </c>
      <c r="DK15" s="2">
        <v>1</v>
      </c>
      <c r="DL15" s="2">
        <v>0</v>
      </c>
      <c r="DM15" s="2">
        <v>0</v>
      </c>
      <c r="DN15" s="2">
        <f t="shared" si="11"/>
        <v>1.97</v>
      </c>
      <c r="DO15" s="29"/>
      <c r="DP15" s="30"/>
      <c r="DQ15" s="30"/>
      <c r="DR15" s="30"/>
      <c r="DS15" s="30"/>
      <c r="DT15" s="30"/>
      <c r="DU15" s="30"/>
      <c r="DV15" s="30"/>
    </row>
    <row r="16" spans="1:126" s="31" customFormat="1" ht="15.75" customHeight="1" x14ac:dyDescent="0.25">
      <c r="A16" s="2" t="s">
        <v>210</v>
      </c>
      <c r="B16" s="25">
        <v>12</v>
      </c>
      <c r="C16" s="35">
        <v>43500</v>
      </c>
      <c r="D16" s="41">
        <v>43500</v>
      </c>
      <c r="E1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6" s="2">
        <v>6</v>
      </c>
      <c r="G16" s="2">
        <v>1</v>
      </c>
      <c r="H16" s="47">
        <f>WEEKNUM(tbSabana2016[[#This Row],[Fecha de Inicio]],15)</f>
        <v>6</v>
      </c>
      <c r="I16" s="36" t="str">
        <f>TEXT(tbSabana2016[[#This Row],[Fecha de Inicio]],"dddd")</f>
        <v>lunes</v>
      </c>
      <c r="J16" s="36" t="str">
        <f>TEXT(tbSabana2016[[#This Row],[Fecha de Inicio]],"mmmm")</f>
        <v>febrero</v>
      </c>
      <c r="K16" s="37" t="s">
        <v>143</v>
      </c>
      <c r="L16" s="23">
        <v>20</v>
      </c>
      <c r="M16" s="38" t="s">
        <v>162</v>
      </c>
      <c r="N16" s="38" t="s">
        <v>163</v>
      </c>
      <c r="O16" s="38" t="s">
        <v>220</v>
      </c>
      <c r="P16" s="38"/>
      <c r="Q16" s="47">
        <v>18</v>
      </c>
      <c r="R16" s="102">
        <v>57</v>
      </c>
      <c r="S16" s="105">
        <v>53.5</v>
      </c>
      <c r="T16" s="102">
        <v>99</v>
      </c>
      <c r="U16" s="102">
        <v>9</v>
      </c>
      <c r="V16" s="105">
        <v>50</v>
      </c>
      <c r="W1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53.50'' W 99° 09' 50.00''</v>
      </c>
      <c r="X16" s="44">
        <v>1631</v>
      </c>
      <c r="Y16" s="19">
        <v>0</v>
      </c>
      <c r="Z16" s="19">
        <v>0</v>
      </c>
      <c r="AA16" s="19">
        <v>0</v>
      </c>
      <c r="AB16" s="19">
        <v>0.8</v>
      </c>
      <c r="AC16" s="19">
        <v>0</v>
      </c>
      <c r="AD16" s="19">
        <v>0</v>
      </c>
      <c r="AE16" s="19">
        <f>SUM(tbSabana2016[[#This Row],[Arbolado Adulto (HA)]:[Suelo Orgánico (HA)]])</f>
        <v>0.8</v>
      </c>
      <c r="AF16" s="9">
        <f t="shared" si="7"/>
        <v>154.77000000000001</v>
      </c>
      <c r="AG16" s="9">
        <f>tbSabana2016[[#This Row],[Acumulado (HA)]]/tbSabana2016[[#This Row],[Incendio en el AÑO]]</f>
        <v>12.897500000000001</v>
      </c>
      <c r="AH16" s="2" t="s">
        <v>147</v>
      </c>
      <c r="AI16" s="2" t="s">
        <v>165</v>
      </c>
      <c r="AJ16" s="2" t="s">
        <v>135</v>
      </c>
      <c r="AK16" s="2" t="s">
        <v>175</v>
      </c>
      <c r="AL16" s="2" t="s">
        <v>150</v>
      </c>
      <c r="AM16" s="2" t="s">
        <v>151</v>
      </c>
      <c r="AN16" s="32">
        <v>43500.416666666664</v>
      </c>
      <c r="AO16" s="32">
        <v>43500.420138888891</v>
      </c>
      <c r="AP16" s="32">
        <v>43500.423611111109</v>
      </c>
      <c r="AQ16" s="32">
        <v>43500.458333333336</v>
      </c>
      <c r="AR16" s="32">
        <v>43500.461805555555</v>
      </c>
      <c r="AS16" s="32"/>
      <c r="AT16" s="32">
        <v>43500.486111111109</v>
      </c>
      <c r="AU16" s="32">
        <v>43500.5</v>
      </c>
      <c r="AV16" s="32">
        <v>43500.527777777781</v>
      </c>
      <c r="AW16" s="40">
        <v>8.3333333333333329E-2</v>
      </c>
      <c r="AX16" s="39">
        <v>3.472222222222222E-3</v>
      </c>
      <c r="AY16" s="39">
        <v>3.8194444444444441E-2</v>
      </c>
      <c r="AZ16" s="40">
        <f>SUM(tbSabana2016[[#This Row],[Duración]])</f>
        <v>8.3333333333333329E-2</v>
      </c>
      <c r="BA16" s="2">
        <v>0.18</v>
      </c>
      <c r="BB16" s="2">
        <v>0.2</v>
      </c>
      <c r="BC16" s="2">
        <v>0</v>
      </c>
      <c r="BD16" s="2">
        <v>0</v>
      </c>
      <c r="BE16" s="2">
        <v>0.2</v>
      </c>
      <c r="BF16" s="2">
        <v>0</v>
      </c>
      <c r="BG16" s="2">
        <v>0</v>
      </c>
      <c r="BH16" s="2">
        <v>0</v>
      </c>
      <c r="BI16" s="2">
        <v>0</v>
      </c>
      <c r="BJ16" s="2" t="s">
        <v>176</v>
      </c>
      <c r="BK16" s="2">
        <v>1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/>
      <c r="BT16" s="2">
        <v>8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3">
        <f t="shared" si="8"/>
        <v>8</v>
      </c>
      <c r="CO16" s="10">
        <f t="shared" si="6"/>
        <v>159</v>
      </c>
      <c r="CP16" s="10">
        <f t="shared" si="9"/>
        <v>8</v>
      </c>
      <c r="CQ16" s="24">
        <f>SUM(tbSabana2016[[#This Row],[Voluntarios]])</f>
        <v>0</v>
      </c>
      <c r="CR16" s="8">
        <f>tbSabana2016[[#This Row],[CONAFOR (Oficiales)]]*383</f>
        <v>3064</v>
      </c>
      <c r="CS16" s="8">
        <f>(tbSabana2016[[#This Row],[Total (Oficiales)]]-tbSabana2016[[#This Row],[CONAFOR (Oficiales)]])*217</f>
        <v>0</v>
      </c>
      <c r="CT16" s="8">
        <f>SUM(tbSabana2016[[#This Row],[Costo CONAFOR]:[Costo Otros]])</f>
        <v>3064</v>
      </c>
      <c r="CU16" s="8">
        <v>209</v>
      </c>
      <c r="CV16" s="8">
        <f t="shared" si="10"/>
        <v>3273</v>
      </c>
      <c r="CW16" s="2" t="s">
        <v>154</v>
      </c>
      <c r="CX16" s="2" t="s">
        <v>154</v>
      </c>
      <c r="CY16" s="69" t="s">
        <v>154</v>
      </c>
      <c r="CZ16" s="2" t="s">
        <v>154</v>
      </c>
      <c r="DA16" s="2" t="s">
        <v>172</v>
      </c>
      <c r="DB16" s="2" t="s">
        <v>155</v>
      </c>
      <c r="DC16" s="2" t="s">
        <v>168</v>
      </c>
      <c r="DD16" s="2" t="s">
        <v>169</v>
      </c>
      <c r="DE16" s="2" t="s">
        <v>170</v>
      </c>
      <c r="DF16" s="2" t="s">
        <v>159</v>
      </c>
      <c r="DG16" s="2" t="s">
        <v>171</v>
      </c>
      <c r="DH16" s="2">
        <v>0</v>
      </c>
      <c r="DI16" s="2">
        <v>0</v>
      </c>
      <c r="DJ16" s="2">
        <v>0</v>
      </c>
      <c r="DK16" s="2">
        <v>0.8</v>
      </c>
      <c r="DL16" s="2">
        <v>0</v>
      </c>
      <c r="DM16" s="2">
        <v>0</v>
      </c>
      <c r="DN16" s="2">
        <f t="shared" si="11"/>
        <v>0.8</v>
      </c>
      <c r="DO16" s="29"/>
      <c r="DP16" s="30"/>
      <c r="DQ16" s="30"/>
      <c r="DR16" s="30"/>
      <c r="DS16" s="30"/>
      <c r="DT16" s="30"/>
      <c r="DU16" s="30"/>
      <c r="DV16" s="30"/>
    </row>
    <row r="17" spans="1:126" s="31" customFormat="1" ht="15.75" customHeight="1" x14ac:dyDescent="0.25">
      <c r="A17" s="2" t="s">
        <v>211</v>
      </c>
      <c r="B17" s="25">
        <v>13</v>
      </c>
      <c r="C17" s="35">
        <v>43500</v>
      </c>
      <c r="D17" s="41">
        <v>43500</v>
      </c>
      <c r="E1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7" s="2">
        <v>7</v>
      </c>
      <c r="G17" s="2">
        <v>1</v>
      </c>
      <c r="H17" s="47">
        <f>WEEKNUM(tbSabana2016[[#This Row],[Fecha de Inicio]],15)</f>
        <v>6</v>
      </c>
      <c r="I17" s="36" t="str">
        <f>TEXT(tbSabana2016[[#This Row],[Fecha de Inicio]],"dddd")</f>
        <v>lunes</v>
      </c>
      <c r="J17" s="36" t="str">
        <f>TEXT(tbSabana2016[[#This Row],[Fecha de Inicio]],"mmmm")</f>
        <v>febrero</v>
      </c>
      <c r="K17" s="37" t="s">
        <v>143</v>
      </c>
      <c r="L17" s="23">
        <v>20</v>
      </c>
      <c r="M17" s="38" t="s">
        <v>162</v>
      </c>
      <c r="N17" s="38" t="s">
        <v>163</v>
      </c>
      <c r="O17" s="38" t="s">
        <v>221</v>
      </c>
      <c r="P17" s="38" t="s">
        <v>219</v>
      </c>
      <c r="Q17" s="47">
        <v>18</v>
      </c>
      <c r="R17" s="102">
        <v>57</v>
      </c>
      <c r="S17" s="105">
        <v>39.1</v>
      </c>
      <c r="T17" s="102">
        <v>99</v>
      </c>
      <c r="U17" s="102">
        <v>10</v>
      </c>
      <c r="V17" s="105">
        <v>16.399999999999999</v>
      </c>
      <c r="W1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39.10'' W 99° 10' 16.40''</v>
      </c>
      <c r="X17" s="44">
        <v>1623</v>
      </c>
      <c r="Y17" s="19">
        <v>0</v>
      </c>
      <c r="Z17" s="19">
        <v>0</v>
      </c>
      <c r="AA17" s="19">
        <v>0</v>
      </c>
      <c r="AB17" s="19">
        <v>0.9</v>
      </c>
      <c r="AC17" s="19">
        <v>0</v>
      </c>
      <c r="AD17" s="19">
        <v>0</v>
      </c>
      <c r="AE17" s="19">
        <f>SUM(tbSabana2016[[#This Row],[Arbolado Adulto (HA)]:[Suelo Orgánico (HA)]])</f>
        <v>0.9</v>
      </c>
      <c r="AF17" s="9">
        <f t="shared" si="7"/>
        <v>155.67000000000002</v>
      </c>
      <c r="AG17" s="9">
        <f>tbSabana2016[[#This Row],[Acumulado (HA)]]/tbSabana2016[[#This Row],[Incendio en el AÑO]]</f>
        <v>11.974615384615387</v>
      </c>
      <c r="AH17" s="2" t="s">
        <v>147</v>
      </c>
      <c r="AI17" s="2" t="s">
        <v>165</v>
      </c>
      <c r="AJ17" s="2" t="s">
        <v>135</v>
      </c>
      <c r="AK17" s="2" t="s">
        <v>175</v>
      </c>
      <c r="AL17" s="2" t="s">
        <v>150</v>
      </c>
      <c r="AM17" s="2" t="s">
        <v>151</v>
      </c>
      <c r="AN17" s="32">
        <v>43500.659722222219</v>
      </c>
      <c r="AO17" s="32">
        <v>43500.663194444445</v>
      </c>
      <c r="AP17" s="32">
        <v>43500.666666666664</v>
      </c>
      <c r="AQ17" s="32">
        <v>43500.697916666664</v>
      </c>
      <c r="AR17" s="32">
        <v>43500.701388888891</v>
      </c>
      <c r="AS17" s="32"/>
      <c r="AT17" s="32">
        <v>43500.75</v>
      </c>
      <c r="AU17" s="32">
        <v>43500.777777777781</v>
      </c>
      <c r="AV17" s="32">
        <v>43500.791666666664</v>
      </c>
      <c r="AW17" s="40">
        <v>0.11805555555555557</v>
      </c>
      <c r="AX17" s="39">
        <v>3.472222222222222E-3</v>
      </c>
      <c r="AY17" s="39">
        <v>3.4722222222222224E-2</v>
      </c>
      <c r="AZ17" s="40">
        <f>SUM(tbSabana2016[[#This Row],[Duración]])</f>
        <v>0.11805555555555557</v>
      </c>
      <c r="BA17" s="2">
        <v>0</v>
      </c>
      <c r="BB17" s="2">
        <v>0.2</v>
      </c>
      <c r="BC17" s="2">
        <v>0</v>
      </c>
      <c r="BD17" s="2">
        <v>0.1</v>
      </c>
      <c r="BE17" s="2">
        <v>0.05</v>
      </c>
      <c r="BF17" s="2">
        <v>0</v>
      </c>
      <c r="BG17" s="2">
        <v>0</v>
      </c>
      <c r="BH17" s="2">
        <v>0</v>
      </c>
      <c r="BI17" s="2">
        <v>0</v>
      </c>
      <c r="BJ17" s="2" t="s">
        <v>206</v>
      </c>
      <c r="BK17" s="2">
        <v>0</v>
      </c>
      <c r="BL17" s="2">
        <v>0</v>
      </c>
      <c r="BM17" s="2">
        <v>1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/>
      <c r="BT17" s="2">
        <v>10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3">
        <f t="shared" si="8"/>
        <v>10</v>
      </c>
      <c r="CO17" s="10">
        <f t="shared" si="6"/>
        <v>169</v>
      </c>
      <c r="CP17" s="10">
        <f t="shared" si="9"/>
        <v>10</v>
      </c>
      <c r="CQ17" s="24">
        <f>SUM(tbSabana2016[[#This Row],[Voluntarios]])</f>
        <v>0</v>
      </c>
      <c r="CR17" s="8">
        <f>tbSabana2016[[#This Row],[CONAFOR (Oficiales)]]*383</f>
        <v>3830</v>
      </c>
      <c r="CS17" s="8">
        <f>(tbSabana2016[[#This Row],[Total (Oficiales)]]-tbSabana2016[[#This Row],[CONAFOR (Oficiales)]])*217</f>
        <v>0</v>
      </c>
      <c r="CT17" s="8">
        <f>SUM(tbSabana2016[[#This Row],[Costo CONAFOR]:[Costo Otros]])</f>
        <v>3830</v>
      </c>
      <c r="CU17" s="8">
        <v>209</v>
      </c>
      <c r="CV17" s="8">
        <f t="shared" si="10"/>
        <v>4039</v>
      </c>
      <c r="CW17" s="2" t="s">
        <v>154</v>
      </c>
      <c r="CX17" s="2" t="s">
        <v>154</v>
      </c>
      <c r="CY17" s="69" t="s">
        <v>154</v>
      </c>
      <c r="CZ17" s="2" t="s">
        <v>154</v>
      </c>
      <c r="DA17" s="2" t="s">
        <v>172</v>
      </c>
      <c r="DB17" s="2" t="s">
        <v>155</v>
      </c>
      <c r="DC17" s="2" t="s">
        <v>168</v>
      </c>
      <c r="DD17" s="2" t="s">
        <v>169</v>
      </c>
      <c r="DE17" s="2" t="s">
        <v>170</v>
      </c>
      <c r="DF17" s="2" t="s">
        <v>159</v>
      </c>
      <c r="DG17" s="2" t="s">
        <v>171</v>
      </c>
      <c r="DH17" s="2">
        <v>0</v>
      </c>
      <c r="DI17" s="2">
        <v>0</v>
      </c>
      <c r="DJ17" s="2">
        <v>0</v>
      </c>
      <c r="DK17" s="2">
        <v>0.9</v>
      </c>
      <c r="DL17" s="2">
        <v>0</v>
      </c>
      <c r="DM17" s="2">
        <v>0</v>
      </c>
      <c r="DN17" s="2">
        <f t="shared" si="11"/>
        <v>0.9</v>
      </c>
      <c r="DO17" s="29"/>
      <c r="DP17" s="30"/>
      <c r="DQ17" s="30"/>
      <c r="DR17" s="30"/>
      <c r="DS17" s="30"/>
      <c r="DT17" s="30"/>
      <c r="DU17" s="30"/>
      <c r="DV17" s="30"/>
    </row>
    <row r="18" spans="1:126" s="31" customFormat="1" ht="15.75" customHeight="1" x14ac:dyDescent="0.25">
      <c r="A18" s="2" t="s">
        <v>225</v>
      </c>
      <c r="B18" s="25">
        <v>14</v>
      </c>
      <c r="C18" s="35">
        <v>43502</v>
      </c>
      <c r="D18" s="41">
        <v>43502</v>
      </c>
      <c r="E1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8" s="2">
        <v>8</v>
      </c>
      <c r="G18" s="2">
        <v>1</v>
      </c>
      <c r="H18" s="47">
        <f>WEEKNUM(tbSabana2016[[#This Row],[Fecha de Inicio]],15)</f>
        <v>6</v>
      </c>
      <c r="I18" s="36" t="str">
        <f>TEXT(tbSabana2016[[#This Row],[Fecha de Inicio]],"dddd")</f>
        <v>miércoles</v>
      </c>
      <c r="J18" s="36" t="str">
        <f>TEXT(tbSabana2016[[#This Row],[Fecha de Inicio]],"mmmm")</f>
        <v>febrero</v>
      </c>
      <c r="K18" s="37" t="s">
        <v>143</v>
      </c>
      <c r="L18" s="23">
        <v>20</v>
      </c>
      <c r="M18" s="38" t="s">
        <v>162</v>
      </c>
      <c r="N18" s="38" t="s">
        <v>163</v>
      </c>
      <c r="O18" s="38" t="s">
        <v>227</v>
      </c>
      <c r="P18" s="38" t="s">
        <v>174</v>
      </c>
      <c r="Q18" s="47">
        <v>18</v>
      </c>
      <c r="R18" s="102">
        <v>57</v>
      </c>
      <c r="S18" s="105">
        <v>57.96</v>
      </c>
      <c r="T18" s="102">
        <v>99</v>
      </c>
      <c r="U18" s="102">
        <v>10</v>
      </c>
      <c r="V18" s="105">
        <v>26.4</v>
      </c>
      <c r="W1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57.96'' W 99° 10' 26.40''</v>
      </c>
      <c r="X18" s="44">
        <v>1652</v>
      </c>
      <c r="Y18" s="19">
        <v>0</v>
      </c>
      <c r="Z18" s="19">
        <v>0</v>
      </c>
      <c r="AA18" s="19">
        <v>2.5299999999999998</v>
      </c>
      <c r="AB18" s="19">
        <v>2</v>
      </c>
      <c r="AC18" s="19">
        <v>0</v>
      </c>
      <c r="AD18" s="19">
        <v>0</v>
      </c>
      <c r="AE18" s="19">
        <f>SUM(tbSabana2016[[#This Row],[Arbolado Adulto (HA)]:[Suelo Orgánico (HA)]])</f>
        <v>4.5299999999999994</v>
      </c>
      <c r="AF18" s="9">
        <f t="shared" ref="AF18:AF23" si="12">SUM(AF17,AE18)</f>
        <v>160.20000000000002</v>
      </c>
      <c r="AG18" s="9">
        <f>tbSabana2016[[#This Row],[Acumulado (HA)]]/tbSabana2016[[#This Row],[Incendio en el AÑO]]</f>
        <v>11.442857142857145</v>
      </c>
      <c r="AH18" s="2" t="s">
        <v>147</v>
      </c>
      <c r="AI18" s="2" t="s">
        <v>165</v>
      </c>
      <c r="AJ18" s="2" t="s">
        <v>135</v>
      </c>
      <c r="AK18" s="2" t="s">
        <v>175</v>
      </c>
      <c r="AL18" s="2" t="s">
        <v>150</v>
      </c>
      <c r="AM18" s="2" t="s">
        <v>151</v>
      </c>
      <c r="AN18" s="32">
        <v>43502.458333333336</v>
      </c>
      <c r="AO18" s="32">
        <v>43502.465277777781</v>
      </c>
      <c r="AP18" s="32">
        <v>43502.46875</v>
      </c>
      <c r="AQ18" s="32">
        <v>43502.520833333336</v>
      </c>
      <c r="AR18" s="32">
        <v>43502.524305555555</v>
      </c>
      <c r="AS18" s="32"/>
      <c r="AT18" s="32">
        <v>43502.652777777781</v>
      </c>
      <c r="AU18" s="32">
        <v>43502.673611111109</v>
      </c>
      <c r="AV18" s="32">
        <v>43502</v>
      </c>
      <c r="AW18" s="40">
        <v>0.21527777777777779</v>
      </c>
      <c r="AX18" s="39">
        <v>6.9444444444444441E-3</v>
      </c>
      <c r="AY18" s="39">
        <v>5.5555555555555552E-2</v>
      </c>
      <c r="AZ18" s="40">
        <f>SUM(tbSabana2016[[#This Row],[Duración]])</f>
        <v>0.21527777777777779</v>
      </c>
      <c r="BA18" s="2">
        <v>0.3</v>
      </c>
      <c r="BB18" s="2">
        <v>0.4</v>
      </c>
      <c r="BC18" s="2">
        <v>0</v>
      </c>
      <c r="BD18" s="2">
        <v>0</v>
      </c>
      <c r="BE18" s="2">
        <v>1</v>
      </c>
      <c r="BF18" s="2">
        <v>0</v>
      </c>
      <c r="BG18" s="2">
        <v>0.15</v>
      </c>
      <c r="BH18" s="2">
        <v>1.7</v>
      </c>
      <c r="BI18" s="2">
        <v>0</v>
      </c>
      <c r="BJ18" s="2" t="s">
        <v>176</v>
      </c>
      <c r="BK18" s="2">
        <v>1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 t="s">
        <v>228</v>
      </c>
      <c r="BT18" s="2">
        <v>9</v>
      </c>
      <c r="BU18" s="2">
        <v>0</v>
      </c>
      <c r="BV18" s="2">
        <v>0</v>
      </c>
      <c r="BW18" s="2">
        <v>5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3">
        <f t="shared" ref="CN18:CN23" si="13">SUM(BT18:CM18)</f>
        <v>14</v>
      </c>
      <c r="CO18" s="10">
        <f t="shared" si="6"/>
        <v>183</v>
      </c>
      <c r="CP18" s="10">
        <f t="shared" ref="CP18:CP23" si="14">SUM(BT18:CG18,CI18:CM18)</f>
        <v>14</v>
      </c>
      <c r="CQ18" s="24">
        <f>SUM(tbSabana2016[[#This Row],[Voluntarios]])</f>
        <v>0</v>
      </c>
      <c r="CR18" s="8">
        <f>tbSabana2016[[#This Row],[CONAFOR (Oficiales)]]*383</f>
        <v>3447</v>
      </c>
      <c r="CS18" s="8">
        <f>(tbSabana2016[[#This Row],[Total (Oficiales)]]-tbSabana2016[[#This Row],[CONAFOR (Oficiales)]])*217</f>
        <v>1085</v>
      </c>
      <c r="CT18" s="8">
        <f>SUM(tbSabana2016[[#This Row],[Costo CONAFOR]:[Costo Otros]])</f>
        <v>4532</v>
      </c>
      <c r="CU18" s="8">
        <v>305.76</v>
      </c>
      <c r="CV18" s="8">
        <f t="shared" ref="CV18:CV23" si="15">SUM(CT18:CU18)</f>
        <v>4837.76</v>
      </c>
      <c r="CW18" s="2" t="s">
        <v>154</v>
      </c>
      <c r="CX18" s="2" t="s">
        <v>154</v>
      </c>
      <c r="CY18" s="69" t="s">
        <v>154</v>
      </c>
      <c r="CZ18" s="2" t="s">
        <v>154</v>
      </c>
      <c r="DA18" s="2" t="s">
        <v>172</v>
      </c>
      <c r="DB18" s="2" t="s">
        <v>155</v>
      </c>
      <c r="DC18" s="2" t="s">
        <v>168</v>
      </c>
      <c r="DD18" s="2" t="s">
        <v>169</v>
      </c>
      <c r="DE18" s="2" t="s">
        <v>170</v>
      </c>
      <c r="DF18" s="2" t="s">
        <v>159</v>
      </c>
      <c r="DG18" s="2" t="s">
        <v>171</v>
      </c>
      <c r="DH18" s="2">
        <v>0</v>
      </c>
      <c r="DI18" s="2">
        <v>0</v>
      </c>
      <c r="DJ18" s="2">
        <v>2.5299999999999998</v>
      </c>
      <c r="DK18" s="2">
        <v>2</v>
      </c>
      <c r="DL18" s="2">
        <v>0</v>
      </c>
      <c r="DM18" s="2">
        <v>0</v>
      </c>
      <c r="DN18" s="2">
        <f t="shared" ref="DN18:DN23" si="16">SUM(DH18:DM18)</f>
        <v>4.5299999999999994</v>
      </c>
      <c r="DO18" s="29"/>
      <c r="DP18" s="30"/>
      <c r="DQ18" s="30"/>
      <c r="DR18" s="30"/>
      <c r="DS18" s="30"/>
      <c r="DT18" s="30"/>
      <c r="DU18" s="30"/>
      <c r="DV18" s="30"/>
    </row>
    <row r="19" spans="1:126" s="31" customFormat="1" ht="15.75" customHeight="1" x14ac:dyDescent="0.25">
      <c r="A19" s="2" t="s">
        <v>226</v>
      </c>
      <c r="B19" s="25">
        <v>15</v>
      </c>
      <c r="C19" s="35">
        <v>43502</v>
      </c>
      <c r="D19" s="41">
        <v>43502</v>
      </c>
      <c r="E1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9" s="2">
        <v>9</v>
      </c>
      <c r="G19" s="2">
        <v>1</v>
      </c>
      <c r="H19" s="47">
        <f>WEEKNUM(tbSabana2016[[#This Row],[Fecha de Inicio]],15)</f>
        <v>6</v>
      </c>
      <c r="I19" s="36" t="str">
        <f>TEXT(tbSabana2016[[#This Row],[Fecha de Inicio]],"dddd")</f>
        <v>miércoles</v>
      </c>
      <c r="J19" s="36" t="str">
        <f>TEXT(tbSabana2016[[#This Row],[Fecha de Inicio]],"mmmm")</f>
        <v>febrero</v>
      </c>
      <c r="K19" s="37" t="s">
        <v>143</v>
      </c>
      <c r="L19" s="23">
        <v>20</v>
      </c>
      <c r="M19" s="38" t="s">
        <v>162</v>
      </c>
      <c r="N19" s="38" t="s">
        <v>163</v>
      </c>
      <c r="O19" s="38" t="s">
        <v>229</v>
      </c>
      <c r="P19" s="38"/>
      <c r="Q19" s="47">
        <v>18</v>
      </c>
      <c r="R19" s="102">
        <v>58</v>
      </c>
      <c r="S19" s="105">
        <v>19.350000000000001</v>
      </c>
      <c r="T19" s="102">
        <v>99</v>
      </c>
      <c r="U19" s="102">
        <v>10</v>
      </c>
      <c r="V19" s="105">
        <v>45.32</v>
      </c>
      <c r="W1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19.35'' W 99° 10' 45.32''</v>
      </c>
      <c r="X19" s="44">
        <v>1687</v>
      </c>
      <c r="Y19" s="19">
        <v>0</v>
      </c>
      <c r="Z19" s="19">
        <v>0</v>
      </c>
      <c r="AA19" s="19">
        <v>2.13</v>
      </c>
      <c r="AB19" s="19">
        <v>2</v>
      </c>
      <c r="AC19" s="19">
        <v>0</v>
      </c>
      <c r="AD19" s="19">
        <v>0</v>
      </c>
      <c r="AE19" s="19">
        <f>SUM(tbSabana2016[[#This Row],[Arbolado Adulto (HA)]:[Suelo Orgánico (HA)]])</f>
        <v>4.13</v>
      </c>
      <c r="AF19" s="9">
        <f t="shared" si="12"/>
        <v>164.33</v>
      </c>
      <c r="AG19" s="9">
        <f>tbSabana2016[[#This Row],[Acumulado (HA)]]/tbSabana2016[[#This Row],[Incendio en el AÑO]]</f>
        <v>10.955333333333334</v>
      </c>
      <c r="AH19" s="2" t="s">
        <v>147</v>
      </c>
      <c r="AI19" s="2" t="s">
        <v>165</v>
      </c>
      <c r="AJ19" s="2" t="s">
        <v>139</v>
      </c>
      <c r="AK19" s="2" t="s">
        <v>166</v>
      </c>
      <c r="AL19" s="2" t="s">
        <v>150</v>
      </c>
      <c r="AM19" s="2" t="s">
        <v>151</v>
      </c>
      <c r="AN19" s="32">
        <v>43502.666666666664</v>
      </c>
      <c r="AO19" s="32">
        <v>43502.670138888891</v>
      </c>
      <c r="AP19" s="32">
        <v>43502.673611111109</v>
      </c>
      <c r="AQ19" s="32">
        <v>43502.680555555555</v>
      </c>
      <c r="AR19" s="32">
        <v>43502.684027777781</v>
      </c>
      <c r="AS19" s="32"/>
      <c r="AT19" s="32">
        <v>43502.770833333336</v>
      </c>
      <c r="AU19" s="32">
        <v>43502.791666666664</v>
      </c>
      <c r="AV19" s="32">
        <v>43502.868055555555</v>
      </c>
      <c r="AW19" s="40">
        <v>0.125</v>
      </c>
      <c r="AX19" s="39">
        <v>3.472222222222222E-3</v>
      </c>
      <c r="AY19" s="39">
        <v>1.0416666666666666E-2</v>
      </c>
      <c r="AZ19" s="40">
        <f>SUM(tbSabana2016[[#This Row],[Duración]])</f>
        <v>0.125</v>
      </c>
      <c r="BA19" s="2">
        <v>0.15</v>
      </c>
      <c r="BB19" s="2">
        <v>0.25</v>
      </c>
      <c r="BC19" s="2">
        <v>0</v>
      </c>
      <c r="BD19" s="2">
        <v>0</v>
      </c>
      <c r="BE19" s="2">
        <v>0.7</v>
      </c>
      <c r="BF19" s="2">
        <v>0</v>
      </c>
      <c r="BG19" s="2">
        <v>0.2</v>
      </c>
      <c r="BH19" s="2">
        <v>0</v>
      </c>
      <c r="BI19" s="2">
        <v>1.2</v>
      </c>
      <c r="BJ19" s="2" t="s">
        <v>176</v>
      </c>
      <c r="BK19" s="2">
        <v>1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/>
      <c r="BT19" s="2">
        <v>9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3">
        <f t="shared" si="13"/>
        <v>9</v>
      </c>
      <c r="CO19" s="10">
        <f t="shared" si="6"/>
        <v>192</v>
      </c>
      <c r="CP19" s="10">
        <f t="shared" si="14"/>
        <v>9</v>
      </c>
      <c r="CQ19" s="24">
        <f>SUM(tbSabana2016[[#This Row],[Voluntarios]])</f>
        <v>0</v>
      </c>
      <c r="CR19" s="8">
        <f>tbSabana2016[[#This Row],[CONAFOR (Oficiales)]]*383</f>
        <v>3447</v>
      </c>
      <c r="CS19" s="8">
        <f>(tbSabana2016[[#This Row],[Total (Oficiales)]]-tbSabana2016[[#This Row],[CONAFOR (Oficiales)]])*217</f>
        <v>0</v>
      </c>
      <c r="CT19" s="8">
        <f>SUM(tbSabana2016[[#This Row],[Costo CONAFOR]:[Costo Otros]])</f>
        <v>3447</v>
      </c>
      <c r="CU19" s="8">
        <v>120.21</v>
      </c>
      <c r="CV19" s="8">
        <f t="shared" si="15"/>
        <v>3567.21</v>
      </c>
      <c r="CW19" s="2" t="s">
        <v>154</v>
      </c>
      <c r="CX19" s="2" t="s">
        <v>154</v>
      </c>
      <c r="CY19" s="69" t="s">
        <v>154</v>
      </c>
      <c r="CZ19" s="2" t="s">
        <v>154</v>
      </c>
      <c r="DA19" s="2" t="s">
        <v>172</v>
      </c>
      <c r="DB19" s="2" t="s">
        <v>155</v>
      </c>
      <c r="DC19" s="2" t="s">
        <v>168</v>
      </c>
      <c r="DD19" s="2" t="s">
        <v>169</v>
      </c>
      <c r="DE19" s="2" t="s">
        <v>170</v>
      </c>
      <c r="DF19" s="2" t="s">
        <v>159</v>
      </c>
      <c r="DG19" s="2" t="s">
        <v>171</v>
      </c>
      <c r="DH19" s="2">
        <v>0</v>
      </c>
      <c r="DI19" s="2">
        <v>0</v>
      </c>
      <c r="DJ19" s="2">
        <v>2.13</v>
      </c>
      <c r="DK19" s="2">
        <v>2</v>
      </c>
      <c r="DL19" s="2">
        <v>0</v>
      </c>
      <c r="DM19" s="2">
        <v>0</v>
      </c>
      <c r="DN19" s="2">
        <f t="shared" si="16"/>
        <v>4.13</v>
      </c>
      <c r="DO19" s="29"/>
      <c r="DP19" s="30"/>
      <c r="DQ19" s="30"/>
      <c r="DR19" s="30"/>
      <c r="DS19" s="30"/>
      <c r="DT19" s="30"/>
      <c r="DU19" s="30"/>
      <c r="DV19" s="30"/>
    </row>
    <row r="20" spans="1:126" s="31" customFormat="1" ht="15.75" customHeight="1" x14ac:dyDescent="0.25">
      <c r="A20" s="2" t="s">
        <v>230</v>
      </c>
      <c r="B20" s="25">
        <v>16</v>
      </c>
      <c r="C20" s="35">
        <v>43504</v>
      </c>
      <c r="D20" s="41">
        <v>43504</v>
      </c>
      <c r="E2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0" s="2">
        <v>10</v>
      </c>
      <c r="G20" s="2">
        <v>1</v>
      </c>
      <c r="H20" s="47">
        <f>WEEKNUM(tbSabana2016[[#This Row],[Fecha de Inicio]],15)</f>
        <v>7</v>
      </c>
      <c r="I20" s="36" t="str">
        <f>TEXT(tbSabana2016[[#This Row],[Fecha de Inicio]],"dddd")</f>
        <v>viernes</v>
      </c>
      <c r="J20" s="36" t="str">
        <f>TEXT(tbSabana2016[[#This Row],[Fecha de Inicio]],"mmmm")</f>
        <v>febrero</v>
      </c>
      <c r="K20" s="37" t="s">
        <v>143</v>
      </c>
      <c r="L20" s="23">
        <v>29</v>
      </c>
      <c r="M20" s="38" t="s">
        <v>231</v>
      </c>
      <c r="N20" s="38" t="s">
        <v>231</v>
      </c>
      <c r="O20" s="38" t="s">
        <v>232</v>
      </c>
      <c r="P20" s="38" t="s">
        <v>233</v>
      </c>
      <c r="Q20" s="47">
        <v>18</v>
      </c>
      <c r="R20" s="102">
        <v>55</v>
      </c>
      <c r="S20" s="105">
        <v>2.9</v>
      </c>
      <c r="T20" s="102">
        <v>99</v>
      </c>
      <c r="U20" s="102">
        <v>4</v>
      </c>
      <c r="V20" s="105">
        <v>45.6</v>
      </c>
      <c r="W2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55' 02.90'' W 99° 04' 45.60''</v>
      </c>
      <c r="X20" s="44">
        <v>1266</v>
      </c>
      <c r="Y20" s="19">
        <v>0</v>
      </c>
      <c r="Z20" s="19">
        <v>0</v>
      </c>
      <c r="AA20" s="19">
        <v>0.45</v>
      </c>
      <c r="AB20" s="19">
        <v>0.45</v>
      </c>
      <c r="AC20" s="19">
        <v>0</v>
      </c>
      <c r="AD20" s="19">
        <v>0</v>
      </c>
      <c r="AE20" s="19">
        <f>SUM(tbSabana2016[[#This Row],[Arbolado Adulto (HA)]:[Suelo Orgánico (HA)]])</f>
        <v>0.9</v>
      </c>
      <c r="AF20" s="9">
        <f t="shared" si="12"/>
        <v>165.23000000000002</v>
      </c>
      <c r="AG20" s="9">
        <f>tbSabana2016[[#This Row],[Acumulado (HA)]]/tbSabana2016[[#This Row],[Incendio en el AÑO]]</f>
        <v>10.326875000000001</v>
      </c>
      <c r="AH20" s="2" t="s">
        <v>147</v>
      </c>
      <c r="AI20" s="2" t="s">
        <v>165</v>
      </c>
      <c r="AJ20" s="2" t="s">
        <v>134</v>
      </c>
      <c r="AK20" s="2" t="s">
        <v>200</v>
      </c>
      <c r="AL20" s="2" t="s">
        <v>150</v>
      </c>
      <c r="AM20" s="2" t="s">
        <v>151</v>
      </c>
      <c r="AN20" s="32" t="s">
        <v>234</v>
      </c>
      <c r="AO20" s="32" t="s">
        <v>235</v>
      </c>
      <c r="AP20" s="32" t="s">
        <v>236</v>
      </c>
      <c r="AQ20" s="32" t="s">
        <v>237</v>
      </c>
      <c r="AR20" s="32" t="s">
        <v>238</v>
      </c>
      <c r="AS20" s="32"/>
      <c r="AT20" s="32" t="s">
        <v>239</v>
      </c>
      <c r="AU20" s="32" t="s">
        <v>240</v>
      </c>
      <c r="AV20" s="32" t="s">
        <v>241</v>
      </c>
      <c r="AW20" s="40">
        <v>0.125</v>
      </c>
      <c r="AX20" s="39">
        <v>6.9444444444444441E-3</v>
      </c>
      <c r="AY20" s="39">
        <v>3.125E-2</v>
      </c>
      <c r="AZ20" s="40">
        <f>SUM(tbSabana2016[[#This Row],[Duración]])</f>
        <v>0.125</v>
      </c>
      <c r="BA20" s="2">
        <v>0.3</v>
      </c>
      <c r="BB20" s="2">
        <v>0.3</v>
      </c>
      <c r="BC20" s="2">
        <v>0</v>
      </c>
      <c r="BD20" s="2">
        <v>0</v>
      </c>
      <c r="BE20" s="2">
        <v>0.4</v>
      </c>
      <c r="BF20" s="2">
        <v>0</v>
      </c>
      <c r="BG20" s="2">
        <v>0.15</v>
      </c>
      <c r="BH20" s="2">
        <v>0.2</v>
      </c>
      <c r="BI20" s="2">
        <v>0</v>
      </c>
      <c r="BJ20" s="2" t="s">
        <v>242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 t="s">
        <v>243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15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3">
        <f t="shared" si="13"/>
        <v>15</v>
      </c>
      <c r="CO20" s="10">
        <f t="shared" si="6"/>
        <v>207</v>
      </c>
      <c r="CP20" s="10">
        <f t="shared" si="14"/>
        <v>15</v>
      </c>
      <c r="CQ20" s="24">
        <f>SUM(tbSabana2016[[#This Row],[Voluntarios]])</f>
        <v>0</v>
      </c>
      <c r="CR20" s="8">
        <f>tbSabana2016[[#This Row],[CONAFOR (Oficiales)]]*383</f>
        <v>0</v>
      </c>
      <c r="CS20" s="8">
        <f>(tbSabana2016[[#This Row],[Total (Oficiales)]]-tbSabana2016[[#This Row],[CONAFOR (Oficiales)]])*217</f>
        <v>3255</v>
      </c>
      <c r="CT20" s="8">
        <f>SUM(tbSabana2016[[#This Row],[Costo CONAFOR]:[Costo Otros]])</f>
        <v>3255</v>
      </c>
      <c r="CU20" s="8">
        <v>633</v>
      </c>
      <c r="CV20" s="8">
        <f t="shared" si="15"/>
        <v>3888</v>
      </c>
      <c r="CW20" s="2" t="s">
        <v>154</v>
      </c>
      <c r="CX20" s="2" t="s">
        <v>154</v>
      </c>
      <c r="CY20" s="69" t="s">
        <v>154</v>
      </c>
      <c r="CZ20" s="2" t="s">
        <v>154</v>
      </c>
      <c r="DA20" s="2" t="s">
        <v>172</v>
      </c>
      <c r="DB20" s="2" t="s">
        <v>155</v>
      </c>
      <c r="DC20" s="2" t="s">
        <v>168</v>
      </c>
      <c r="DD20" s="2" t="s">
        <v>169</v>
      </c>
      <c r="DE20" s="2" t="s">
        <v>158</v>
      </c>
      <c r="DF20" s="2" t="s">
        <v>159</v>
      </c>
      <c r="DG20" s="2" t="s">
        <v>160</v>
      </c>
      <c r="DH20" s="2">
        <v>0</v>
      </c>
      <c r="DI20" s="2">
        <v>0</v>
      </c>
      <c r="DJ20" s="2">
        <v>0.45</v>
      </c>
      <c r="DK20" s="2">
        <v>0.45</v>
      </c>
      <c r="DL20" s="2">
        <v>0</v>
      </c>
      <c r="DM20" s="2">
        <v>0</v>
      </c>
      <c r="DN20" s="2">
        <f t="shared" si="16"/>
        <v>0.9</v>
      </c>
      <c r="DO20" s="29"/>
      <c r="DP20" s="30"/>
      <c r="DQ20" s="30"/>
      <c r="DR20" s="30"/>
      <c r="DS20" s="30"/>
      <c r="DT20" s="30"/>
      <c r="DU20" s="30"/>
      <c r="DV20" s="30"/>
    </row>
    <row r="21" spans="1:126" s="31" customFormat="1" ht="15.75" customHeight="1" x14ac:dyDescent="0.25">
      <c r="A21" s="2" t="s">
        <v>244</v>
      </c>
      <c r="B21" s="25">
        <v>17</v>
      </c>
      <c r="C21" s="35">
        <v>43505</v>
      </c>
      <c r="D21" s="41">
        <v>43505</v>
      </c>
      <c r="E2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1" s="2">
        <v>11</v>
      </c>
      <c r="G21" s="2">
        <v>1</v>
      </c>
      <c r="H21" s="47">
        <f>WEEKNUM(tbSabana2016[[#This Row],[Fecha de Inicio]],15)</f>
        <v>7</v>
      </c>
      <c r="I21" s="36" t="str">
        <f>TEXT(tbSabana2016[[#This Row],[Fecha de Inicio]],"dddd")</f>
        <v>sábado</v>
      </c>
      <c r="J21" s="36" t="str">
        <f>TEXT(tbSabana2016[[#This Row],[Fecha de Inicio]],"mmmm")</f>
        <v>febrero</v>
      </c>
      <c r="K21" s="37" t="s">
        <v>143</v>
      </c>
      <c r="L21" s="23">
        <v>20</v>
      </c>
      <c r="M21" s="38" t="s">
        <v>162</v>
      </c>
      <c r="N21" s="38" t="s">
        <v>163</v>
      </c>
      <c r="O21" s="38" t="s">
        <v>178</v>
      </c>
      <c r="P21" s="38"/>
      <c r="Q21" s="47">
        <v>18</v>
      </c>
      <c r="R21" s="102">
        <v>57</v>
      </c>
      <c r="S21" s="105">
        <v>47.2</v>
      </c>
      <c r="T21" s="102">
        <v>99</v>
      </c>
      <c r="U21" s="102">
        <v>10</v>
      </c>
      <c r="V21" s="105">
        <v>36.1</v>
      </c>
      <c r="W2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47.20'' W 99° 10' 36.10''</v>
      </c>
      <c r="X21" s="44">
        <v>1646</v>
      </c>
      <c r="Y21" s="19">
        <v>0</v>
      </c>
      <c r="Z21" s="19">
        <v>0</v>
      </c>
      <c r="AA21" s="19">
        <v>0.4</v>
      </c>
      <c r="AB21" s="19">
        <v>0.5</v>
      </c>
      <c r="AC21" s="19">
        <v>0</v>
      </c>
      <c r="AD21" s="19">
        <v>0</v>
      </c>
      <c r="AE21" s="19">
        <f>SUM(tbSabana2016[[#This Row],[Arbolado Adulto (HA)]:[Suelo Orgánico (HA)]])</f>
        <v>0.9</v>
      </c>
      <c r="AF21" s="9">
        <f t="shared" si="12"/>
        <v>166.13000000000002</v>
      </c>
      <c r="AG21" s="9">
        <f>tbSabana2016[[#This Row],[Acumulado (HA)]]/tbSabana2016[[#This Row],[Incendio en el AÑO]]</f>
        <v>9.7723529411764716</v>
      </c>
      <c r="AH21" s="2" t="s">
        <v>147</v>
      </c>
      <c r="AI21" s="2" t="s">
        <v>165</v>
      </c>
      <c r="AJ21" s="2" t="s">
        <v>135</v>
      </c>
      <c r="AK21" s="2" t="s">
        <v>175</v>
      </c>
      <c r="AL21" s="2" t="s">
        <v>150</v>
      </c>
      <c r="AM21" s="2" t="s">
        <v>151</v>
      </c>
      <c r="AN21" s="32">
        <v>43505.645833333336</v>
      </c>
      <c r="AO21" s="32">
        <v>43505.652777777781</v>
      </c>
      <c r="AP21" s="32">
        <v>43505.65625</v>
      </c>
      <c r="AQ21" s="32">
        <v>43505.677083333336</v>
      </c>
      <c r="AR21" s="32">
        <v>43505.678472222222</v>
      </c>
      <c r="AS21" s="32"/>
      <c r="AT21" s="32">
        <v>43505.708333333336</v>
      </c>
      <c r="AU21" s="32">
        <v>43505.717361111114</v>
      </c>
      <c r="AV21" s="32" t="s">
        <v>430</v>
      </c>
      <c r="AW21" s="40">
        <v>6.5972222222222224E-2</v>
      </c>
      <c r="AX21" s="39">
        <v>1.3888888888888889E-3</v>
      </c>
      <c r="AY21" s="39">
        <v>2.4305555555555556E-2</v>
      </c>
      <c r="AZ21" s="40">
        <f>SUM(tbSabana2016[[#This Row],[Duración]])</f>
        <v>6.5972222222222224E-2</v>
      </c>
      <c r="BA21" s="2">
        <v>0.06</v>
      </c>
      <c r="BB21" s="2">
        <v>0.03</v>
      </c>
      <c r="BC21" s="2">
        <v>0</v>
      </c>
      <c r="BD21" s="2">
        <v>0</v>
      </c>
      <c r="BE21" s="2">
        <v>0.06</v>
      </c>
      <c r="BF21" s="2">
        <v>0</v>
      </c>
      <c r="BG21" s="2">
        <v>0</v>
      </c>
      <c r="BH21" s="2">
        <v>7.0000000000000007E-2</v>
      </c>
      <c r="BI21" s="2">
        <v>0</v>
      </c>
      <c r="BJ21" s="2" t="s">
        <v>179</v>
      </c>
      <c r="BK21" s="2">
        <v>0</v>
      </c>
      <c r="BL21" s="2">
        <v>0</v>
      </c>
      <c r="BM21" s="2">
        <v>0</v>
      </c>
      <c r="BN21" s="2">
        <v>1</v>
      </c>
      <c r="BO21" s="2">
        <v>0</v>
      </c>
      <c r="BP21" s="2">
        <v>0</v>
      </c>
      <c r="BQ21" s="2">
        <v>0</v>
      </c>
      <c r="BR21" s="2">
        <v>0</v>
      </c>
      <c r="BS21" s="2"/>
      <c r="BT21" s="2">
        <v>9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3">
        <f t="shared" si="13"/>
        <v>9</v>
      </c>
      <c r="CO21" s="10">
        <f t="shared" si="6"/>
        <v>216</v>
      </c>
      <c r="CP21" s="10">
        <f t="shared" si="14"/>
        <v>9</v>
      </c>
      <c r="CQ21" s="24">
        <f>SUM(tbSabana2016[[#This Row],[Voluntarios]])</f>
        <v>0</v>
      </c>
      <c r="CR21" s="8">
        <f>tbSabana2016[[#This Row],[CONAFOR (Oficiales)]]*383</f>
        <v>3447</v>
      </c>
      <c r="CS21" s="8">
        <f>(tbSabana2016[[#This Row],[Total (Oficiales)]]-tbSabana2016[[#This Row],[CONAFOR (Oficiales)]])*217</f>
        <v>0</v>
      </c>
      <c r="CT21" s="8">
        <f>SUM(tbSabana2016[[#This Row],[Costo CONAFOR]:[Costo Otros]])</f>
        <v>3447</v>
      </c>
      <c r="CU21" s="8">
        <v>152</v>
      </c>
      <c r="CV21" s="8">
        <f t="shared" si="15"/>
        <v>3599</v>
      </c>
      <c r="CW21" s="2" t="s">
        <v>154</v>
      </c>
      <c r="CX21" s="2" t="s">
        <v>154</v>
      </c>
      <c r="CY21" s="69" t="s">
        <v>154</v>
      </c>
      <c r="CZ21" s="2" t="s">
        <v>154</v>
      </c>
      <c r="DA21" s="2" t="s">
        <v>172</v>
      </c>
      <c r="DB21" s="2" t="s">
        <v>155</v>
      </c>
      <c r="DC21" s="2" t="s">
        <v>168</v>
      </c>
      <c r="DD21" s="2" t="s">
        <v>169</v>
      </c>
      <c r="DE21" s="2" t="s">
        <v>170</v>
      </c>
      <c r="DF21" s="2" t="s">
        <v>159</v>
      </c>
      <c r="DG21" s="2" t="s">
        <v>171</v>
      </c>
      <c r="DH21" s="2">
        <v>0</v>
      </c>
      <c r="DI21" s="2">
        <v>0</v>
      </c>
      <c r="DJ21" s="2">
        <v>0.4</v>
      </c>
      <c r="DK21" s="2">
        <v>0.5</v>
      </c>
      <c r="DL21" s="2">
        <v>0</v>
      </c>
      <c r="DM21" s="2">
        <v>0</v>
      </c>
      <c r="DN21" s="2">
        <f t="shared" si="16"/>
        <v>0.9</v>
      </c>
      <c r="DO21" s="29"/>
      <c r="DP21" s="30"/>
      <c r="DQ21" s="30"/>
      <c r="DR21" s="30"/>
      <c r="DS21" s="30"/>
      <c r="DT21" s="30"/>
      <c r="DU21" s="30"/>
      <c r="DV21" s="30"/>
    </row>
    <row r="22" spans="1:126" s="31" customFormat="1" ht="15.75" customHeight="1" x14ac:dyDescent="0.25">
      <c r="A22" s="2" t="s">
        <v>245</v>
      </c>
      <c r="B22" s="25">
        <v>18</v>
      </c>
      <c r="C22" s="35">
        <v>43505</v>
      </c>
      <c r="D22" s="35">
        <v>43505</v>
      </c>
      <c r="E2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2" s="2">
        <v>12</v>
      </c>
      <c r="G22" s="2">
        <v>1</v>
      </c>
      <c r="H22" s="47">
        <f>WEEKNUM(tbSabana2016[[#This Row],[Fecha de Inicio]],15)</f>
        <v>7</v>
      </c>
      <c r="I22" s="36" t="str">
        <f>TEXT(tbSabana2016[[#This Row],[Fecha de Inicio]],"dddd")</f>
        <v>sábado</v>
      </c>
      <c r="J22" s="36" t="str">
        <f>TEXT(tbSabana2016[[#This Row],[Fecha de Inicio]],"mmmm")</f>
        <v>febrero</v>
      </c>
      <c r="K22" s="37" t="s">
        <v>143</v>
      </c>
      <c r="L22" s="23">
        <v>20</v>
      </c>
      <c r="M22" s="38" t="s">
        <v>162</v>
      </c>
      <c r="N22" s="38" t="s">
        <v>163</v>
      </c>
      <c r="O22" s="38" t="s">
        <v>246</v>
      </c>
      <c r="P22" s="38" t="s">
        <v>174</v>
      </c>
      <c r="Q22" s="47">
        <v>18</v>
      </c>
      <c r="R22" s="102">
        <v>57</v>
      </c>
      <c r="S22" s="105">
        <v>39.6</v>
      </c>
      <c r="T22" s="102">
        <v>99</v>
      </c>
      <c r="U22" s="102">
        <v>10</v>
      </c>
      <c r="V22" s="105">
        <v>36.299999999999997</v>
      </c>
      <c r="W2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39.60'' W 99° 10' 36.30''</v>
      </c>
      <c r="X22" s="44">
        <v>1635</v>
      </c>
      <c r="Y22" s="19">
        <v>0</v>
      </c>
      <c r="Z22" s="19">
        <v>0</v>
      </c>
      <c r="AA22" s="19">
        <v>0</v>
      </c>
      <c r="AB22" s="19">
        <v>0.4</v>
      </c>
      <c r="AC22" s="19">
        <v>0</v>
      </c>
      <c r="AD22" s="19">
        <v>0</v>
      </c>
      <c r="AE22" s="19">
        <f>SUM(tbSabana2016[[#This Row],[Arbolado Adulto (HA)]:[Suelo Orgánico (HA)]])</f>
        <v>0.4</v>
      </c>
      <c r="AF22" s="9">
        <f t="shared" si="12"/>
        <v>166.53000000000003</v>
      </c>
      <c r="AG22" s="9">
        <f>tbSabana2016[[#This Row],[Acumulado (HA)]]/tbSabana2016[[#This Row],[Incendio en el AÑO]]</f>
        <v>9.2516666666666687</v>
      </c>
      <c r="AH22" s="2" t="s">
        <v>147</v>
      </c>
      <c r="AI22" s="2" t="s">
        <v>165</v>
      </c>
      <c r="AJ22" s="2" t="s">
        <v>135</v>
      </c>
      <c r="AK22" s="2" t="s">
        <v>175</v>
      </c>
      <c r="AL22" s="2" t="s">
        <v>150</v>
      </c>
      <c r="AM22" s="2" t="s">
        <v>151</v>
      </c>
      <c r="AN22" s="32">
        <v>43505.711805555555</v>
      </c>
      <c r="AO22" s="32">
        <v>43505.715277777781</v>
      </c>
      <c r="AP22" s="32">
        <v>43505.717361111114</v>
      </c>
      <c r="AQ22" s="32">
        <v>43505.722222222219</v>
      </c>
      <c r="AR22" s="32">
        <v>43505.722916666666</v>
      </c>
      <c r="AS22" s="32"/>
      <c r="AT22" s="32">
        <v>43505.75</v>
      </c>
      <c r="AU22" s="32">
        <v>43505.756944444445</v>
      </c>
      <c r="AV22" s="32">
        <v>43505.777777777781</v>
      </c>
      <c r="AW22" s="40">
        <v>4.5138888888888888E-2</v>
      </c>
      <c r="AX22" s="39">
        <v>3.472222222222222E-3</v>
      </c>
      <c r="AY22" s="39">
        <v>6.9444444444444441E-3</v>
      </c>
      <c r="AZ22" s="40">
        <f>SUM(tbSabana2016[[#This Row],[Duración]])</f>
        <v>4.5138888888888888E-2</v>
      </c>
      <c r="BA22" s="2">
        <v>0.03</v>
      </c>
      <c r="BB22" s="2">
        <v>0</v>
      </c>
      <c r="BC22" s="2">
        <v>0</v>
      </c>
      <c r="BD22" s="2">
        <v>0</v>
      </c>
      <c r="BE22" s="2">
        <v>3.5000000000000003E-2</v>
      </c>
      <c r="BF22" s="2">
        <v>0</v>
      </c>
      <c r="BG22" s="2">
        <v>0</v>
      </c>
      <c r="BH22" s="2">
        <v>0.06</v>
      </c>
      <c r="BI22" s="2">
        <v>0</v>
      </c>
      <c r="BJ22" s="2" t="s">
        <v>179</v>
      </c>
      <c r="BK22" s="2">
        <v>0</v>
      </c>
      <c r="BL22" s="2">
        <v>0</v>
      </c>
      <c r="BM22" s="2">
        <v>0</v>
      </c>
      <c r="BN22" s="2">
        <v>1</v>
      </c>
      <c r="BO22" s="2">
        <v>0</v>
      </c>
      <c r="BP22" s="2">
        <v>0</v>
      </c>
      <c r="BQ22" s="2">
        <v>0</v>
      </c>
      <c r="BR22" s="2">
        <v>0</v>
      </c>
      <c r="BS22" s="2"/>
      <c r="BT22" s="2">
        <v>9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3">
        <f t="shared" si="13"/>
        <v>9</v>
      </c>
      <c r="CO22" s="10">
        <f t="shared" si="6"/>
        <v>225</v>
      </c>
      <c r="CP22" s="10">
        <f t="shared" si="14"/>
        <v>9</v>
      </c>
      <c r="CQ22" s="24">
        <f>SUM(tbSabana2016[[#This Row],[Voluntarios]])</f>
        <v>0</v>
      </c>
      <c r="CR22" s="8">
        <f>tbSabana2016[[#This Row],[CONAFOR (Oficiales)]]*383</f>
        <v>3447</v>
      </c>
      <c r="CS22" s="8">
        <f>(tbSabana2016[[#This Row],[Total (Oficiales)]]-tbSabana2016[[#This Row],[CONAFOR (Oficiales)]])*217</f>
        <v>0</v>
      </c>
      <c r="CT22" s="8">
        <f>SUM(tbSabana2016[[#This Row],[Costo CONAFOR]:[Costo Otros]])</f>
        <v>3447</v>
      </c>
      <c r="CU22" s="8">
        <v>95</v>
      </c>
      <c r="CV22" s="8">
        <f t="shared" si="15"/>
        <v>3542</v>
      </c>
      <c r="CW22" s="2" t="s">
        <v>154</v>
      </c>
      <c r="CX22" s="2" t="s">
        <v>154</v>
      </c>
      <c r="CY22" s="69" t="s">
        <v>154</v>
      </c>
      <c r="CZ22" s="2" t="s">
        <v>154</v>
      </c>
      <c r="DA22" s="2" t="s">
        <v>172</v>
      </c>
      <c r="DB22" s="2" t="s">
        <v>155</v>
      </c>
      <c r="DC22" s="2" t="s">
        <v>168</v>
      </c>
      <c r="DD22" s="2" t="s">
        <v>169</v>
      </c>
      <c r="DE22" s="2" t="s">
        <v>170</v>
      </c>
      <c r="DF22" s="2" t="s">
        <v>159</v>
      </c>
      <c r="DG22" s="2" t="s">
        <v>171</v>
      </c>
      <c r="DH22" s="2">
        <v>0</v>
      </c>
      <c r="DI22" s="2">
        <v>0</v>
      </c>
      <c r="DJ22" s="2">
        <v>0</v>
      </c>
      <c r="DK22" s="2">
        <v>0.4</v>
      </c>
      <c r="DL22" s="2">
        <v>0</v>
      </c>
      <c r="DM22" s="2">
        <v>0</v>
      </c>
      <c r="DN22" s="2">
        <f t="shared" si="16"/>
        <v>0.4</v>
      </c>
      <c r="DO22" s="29"/>
      <c r="DP22" s="30"/>
      <c r="DQ22" s="30"/>
      <c r="DR22" s="30"/>
      <c r="DS22" s="30"/>
      <c r="DT22" s="30"/>
      <c r="DU22" s="30"/>
      <c r="DV22" s="30"/>
    </row>
    <row r="23" spans="1:126" s="31" customFormat="1" ht="15.75" customHeight="1" x14ac:dyDescent="0.25">
      <c r="A23" s="2" t="s">
        <v>247</v>
      </c>
      <c r="B23" s="25">
        <v>19</v>
      </c>
      <c r="C23" s="35">
        <v>43506</v>
      </c>
      <c r="D23" s="35">
        <v>43506</v>
      </c>
      <c r="E2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3" s="2">
        <v>13</v>
      </c>
      <c r="G23" s="2">
        <v>1</v>
      </c>
      <c r="H23" s="47">
        <f>WEEKNUM(tbSabana2016[[#This Row],[Fecha de Inicio]],15)</f>
        <v>7</v>
      </c>
      <c r="I23" s="36" t="str">
        <f>TEXT(tbSabana2016[[#This Row],[Fecha de Inicio]],"dddd")</f>
        <v>domingo</v>
      </c>
      <c r="J23" s="36" t="str">
        <f>TEXT(tbSabana2016[[#This Row],[Fecha de Inicio]],"mmmm")</f>
        <v>febrero</v>
      </c>
      <c r="K23" s="37" t="s">
        <v>143</v>
      </c>
      <c r="L23" s="23">
        <v>20</v>
      </c>
      <c r="M23" s="38" t="s">
        <v>162</v>
      </c>
      <c r="N23" s="38" t="s">
        <v>212</v>
      </c>
      <c r="O23" s="38" t="s">
        <v>248</v>
      </c>
      <c r="P23" s="38" t="s">
        <v>249</v>
      </c>
      <c r="Q23" s="47">
        <v>18</v>
      </c>
      <c r="R23" s="102">
        <v>57</v>
      </c>
      <c r="S23" s="105">
        <v>10.92</v>
      </c>
      <c r="T23" s="102">
        <v>99</v>
      </c>
      <c r="U23" s="102">
        <v>4</v>
      </c>
      <c r="V23" s="105">
        <v>58.57</v>
      </c>
      <c r="W2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10.92'' W 99° 04' 58.57''</v>
      </c>
      <c r="X23" s="44">
        <v>1389</v>
      </c>
      <c r="Y23" s="19">
        <v>0</v>
      </c>
      <c r="Z23" s="19">
        <v>0</v>
      </c>
      <c r="AA23" s="19">
        <v>2.56</v>
      </c>
      <c r="AB23" s="19">
        <v>5</v>
      </c>
      <c r="AC23" s="19">
        <v>0</v>
      </c>
      <c r="AD23" s="19">
        <v>0</v>
      </c>
      <c r="AE23" s="19">
        <f>SUM(tbSabana2016[[#This Row],[Arbolado Adulto (HA)]:[Suelo Orgánico (HA)]])</f>
        <v>7.5600000000000005</v>
      </c>
      <c r="AF23" s="9">
        <f t="shared" si="12"/>
        <v>174.09000000000003</v>
      </c>
      <c r="AG23" s="9">
        <f>tbSabana2016[[#This Row],[Acumulado (HA)]]/tbSabana2016[[#This Row],[Incendio en el AÑO]]</f>
        <v>9.1626315789473693</v>
      </c>
      <c r="AH23" s="2" t="s">
        <v>250</v>
      </c>
      <c r="AI23" s="2" t="s">
        <v>251</v>
      </c>
      <c r="AJ23" s="2" t="s">
        <v>134</v>
      </c>
      <c r="AK23" s="2" t="s">
        <v>200</v>
      </c>
      <c r="AL23" s="2" t="s">
        <v>150</v>
      </c>
      <c r="AM23" s="2" t="s">
        <v>151</v>
      </c>
      <c r="AN23" s="32">
        <v>43506.555555555555</v>
      </c>
      <c r="AO23" s="32">
        <v>43506.559027777781</v>
      </c>
      <c r="AP23" s="32">
        <v>43506.5625</v>
      </c>
      <c r="AQ23" s="32">
        <v>43506.618055555555</v>
      </c>
      <c r="AR23" s="32">
        <v>43506.625</v>
      </c>
      <c r="AS23" s="32"/>
      <c r="AT23" s="32">
        <v>43506.75</v>
      </c>
      <c r="AU23" s="32">
        <v>43506.770833333336</v>
      </c>
      <c r="AV23" s="32">
        <v>43506.833333333336</v>
      </c>
      <c r="AW23" s="40">
        <v>0.21527777777777779</v>
      </c>
      <c r="AX23" s="39">
        <v>3.472222222222222E-3</v>
      </c>
      <c r="AY23" s="39">
        <v>5.9027777777777783E-2</v>
      </c>
      <c r="AZ23" s="40">
        <f>SUM(tbSabana2016[[#This Row],[Duración]])</f>
        <v>0.21527777777777779</v>
      </c>
      <c r="BA23" s="2">
        <v>0.5</v>
      </c>
      <c r="BB23" s="2">
        <v>0.8</v>
      </c>
      <c r="BC23" s="2">
        <v>0</v>
      </c>
      <c r="BD23" s="2">
        <v>0</v>
      </c>
      <c r="BE23" s="2">
        <v>0.3</v>
      </c>
      <c r="BF23" s="2">
        <v>0</v>
      </c>
      <c r="BG23" s="2">
        <v>0.2</v>
      </c>
      <c r="BH23" s="2">
        <v>0</v>
      </c>
      <c r="BI23" s="2">
        <v>0</v>
      </c>
      <c r="BJ23" s="2" t="s">
        <v>181</v>
      </c>
      <c r="BK23" s="2">
        <v>0</v>
      </c>
      <c r="BL23" s="2">
        <v>1</v>
      </c>
      <c r="BM23" s="2">
        <v>1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 t="s">
        <v>252</v>
      </c>
      <c r="BT23" s="2">
        <v>19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4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3">
        <f t="shared" si="13"/>
        <v>23</v>
      </c>
      <c r="CO23" s="10">
        <f t="shared" si="6"/>
        <v>248</v>
      </c>
      <c r="CP23" s="10">
        <f t="shared" si="14"/>
        <v>23</v>
      </c>
      <c r="CQ23" s="24">
        <f>SUM(tbSabana2016[[#This Row],[Voluntarios]])</f>
        <v>0</v>
      </c>
      <c r="CR23" s="8">
        <f>tbSabana2016[[#This Row],[CONAFOR (Oficiales)]]*383</f>
        <v>7277</v>
      </c>
      <c r="CS23" s="8">
        <f>(tbSabana2016[[#This Row],[Total (Oficiales)]]-tbSabana2016[[#This Row],[CONAFOR (Oficiales)]])*217</f>
        <v>868</v>
      </c>
      <c r="CT23" s="8">
        <f>SUM(tbSabana2016[[#This Row],[Costo CONAFOR]:[Costo Otros]])</f>
        <v>8145</v>
      </c>
      <c r="CU23" s="8">
        <v>665</v>
      </c>
      <c r="CV23" s="8">
        <f t="shared" si="15"/>
        <v>8810</v>
      </c>
      <c r="CW23" s="2" t="s">
        <v>154</v>
      </c>
      <c r="CX23" s="2" t="s">
        <v>154</v>
      </c>
      <c r="CY23" s="69" t="s">
        <v>154</v>
      </c>
      <c r="CZ23" s="2" t="s">
        <v>154</v>
      </c>
      <c r="DA23" s="2" t="s">
        <v>172</v>
      </c>
      <c r="DB23" s="2" t="s">
        <v>155</v>
      </c>
      <c r="DC23" s="2" t="s">
        <v>168</v>
      </c>
      <c r="DD23" s="2" t="s">
        <v>169</v>
      </c>
      <c r="DE23" s="2" t="s">
        <v>170</v>
      </c>
      <c r="DF23" s="2" t="s">
        <v>159</v>
      </c>
      <c r="DG23" s="2" t="s">
        <v>171</v>
      </c>
      <c r="DH23" s="2">
        <v>0</v>
      </c>
      <c r="DI23" s="2">
        <v>0</v>
      </c>
      <c r="DJ23" s="2">
        <v>2.56</v>
      </c>
      <c r="DK23" s="2">
        <v>5</v>
      </c>
      <c r="DL23" s="2">
        <v>0</v>
      </c>
      <c r="DM23" s="2">
        <v>0</v>
      </c>
      <c r="DN23" s="2">
        <f t="shared" si="16"/>
        <v>7.5600000000000005</v>
      </c>
      <c r="DO23" s="29"/>
      <c r="DP23" s="30"/>
      <c r="DQ23" s="30"/>
      <c r="DR23" s="30"/>
      <c r="DS23" s="30"/>
      <c r="DT23" s="30"/>
      <c r="DU23" s="30"/>
      <c r="DV23" s="30"/>
    </row>
    <row r="24" spans="1:126" s="31" customFormat="1" ht="15.75" customHeight="1" x14ac:dyDescent="0.25">
      <c r="A24" s="2" t="s">
        <v>254</v>
      </c>
      <c r="B24" s="25">
        <v>20</v>
      </c>
      <c r="C24" s="35">
        <v>43507</v>
      </c>
      <c r="D24" s="35">
        <v>43507</v>
      </c>
      <c r="E2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4" s="2">
        <v>14</v>
      </c>
      <c r="G24" s="2">
        <v>1</v>
      </c>
      <c r="H24" s="47">
        <f>WEEKNUM(tbSabana2016[[#This Row],[Fecha de Inicio]],15)</f>
        <v>7</v>
      </c>
      <c r="I24" s="36" t="str">
        <f>TEXT(tbSabana2016[[#This Row],[Fecha de Inicio]],"dddd")</f>
        <v>lunes</v>
      </c>
      <c r="J24" s="36" t="str">
        <f>TEXT(tbSabana2016[[#This Row],[Fecha de Inicio]],"mmmm")</f>
        <v>febrero</v>
      </c>
      <c r="K24" s="37" t="s">
        <v>143</v>
      </c>
      <c r="L24" s="23">
        <v>23</v>
      </c>
      <c r="M24" s="38" t="s">
        <v>123</v>
      </c>
      <c r="N24" s="38" t="s">
        <v>123</v>
      </c>
      <c r="O24" s="38" t="s">
        <v>255</v>
      </c>
      <c r="P24" s="38"/>
      <c r="Q24" s="47">
        <v>19</v>
      </c>
      <c r="R24" s="102">
        <v>3</v>
      </c>
      <c r="S24" s="105">
        <v>44.27</v>
      </c>
      <c r="T24" s="102">
        <v>98</v>
      </c>
      <c r="U24" s="102">
        <v>58</v>
      </c>
      <c r="V24" s="105">
        <v>45.34</v>
      </c>
      <c r="W2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44.27'' W 98° 58' 45.34''</v>
      </c>
      <c r="X24" s="44">
        <v>2793</v>
      </c>
      <c r="Y24" s="19">
        <v>0</v>
      </c>
      <c r="Z24" s="19">
        <v>0</v>
      </c>
      <c r="AA24" s="19">
        <v>0</v>
      </c>
      <c r="AB24" s="19">
        <v>3.79</v>
      </c>
      <c r="AC24" s="19">
        <v>0</v>
      </c>
      <c r="AD24" s="19">
        <v>0</v>
      </c>
      <c r="AE24" s="19">
        <f>SUM(tbSabana2016[[#This Row],[Arbolado Adulto (HA)]:[Suelo Orgánico (HA)]])</f>
        <v>3.79</v>
      </c>
      <c r="AF24" s="9">
        <f t="shared" ref="AF24:AF30" si="17">SUM(AF23,AE24)</f>
        <v>177.88000000000002</v>
      </c>
      <c r="AG24" s="9">
        <f>tbSabana2016[[#This Row],[Acumulado (HA)]]/tbSabana2016[[#This Row],[Incendio en el AÑO]]</f>
        <v>8.8940000000000019</v>
      </c>
      <c r="AH24" s="2" t="s">
        <v>147</v>
      </c>
      <c r="AI24" s="2" t="s">
        <v>165</v>
      </c>
      <c r="AJ24" s="2" t="s">
        <v>133</v>
      </c>
      <c r="AK24" s="2" t="s">
        <v>149</v>
      </c>
      <c r="AL24" s="2" t="s">
        <v>150</v>
      </c>
      <c r="AM24" s="2" t="s">
        <v>151</v>
      </c>
      <c r="AN24" s="32">
        <v>43507.333333333336</v>
      </c>
      <c r="AO24" s="32">
        <v>43507.340277777781</v>
      </c>
      <c r="AP24" s="32">
        <v>43507.347222222219</v>
      </c>
      <c r="AQ24" s="32">
        <v>43507.472222222219</v>
      </c>
      <c r="AR24" s="32">
        <v>43507.475694444445</v>
      </c>
      <c r="AS24" s="32"/>
      <c r="AT24" s="32">
        <v>43507.590277777781</v>
      </c>
      <c r="AU24" s="32">
        <v>43507.621527777781</v>
      </c>
      <c r="AV24" s="32">
        <v>43507.770833333336</v>
      </c>
      <c r="AW24" s="40">
        <v>0.28819444444444448</v>
      </c>
      <c r="AX24" s="39">
        <v>6.9444444444444441E-3</v>
      </c>
      <c r="AY24" s="39">
        <v>0.13194444444444445</v>
      </c>
      <c r="AZ24" s="40">
        <f>SUM(tbSabana2016[[#This Row],[Duración]])</f>
        <v>0.28819444444444448</v>
      </c>
      <c r="BA24" s="2">
        <v>0.05</v>
      </c>
      <c r="BB24" s="2">
        <v>0.04</v>
      </c>
      <c r="BC24" s="2">
        <v>0</v>
      </c>
      <c r="BD24" s="2">
        <v>0</v>
      </c>
      <c r="BE24" s="2">
        <v>0.2</v>
      </c>
      <c r="BF24" s="2">
        <v>0</v>
      </c>
      <c r="BG24" s="2">
        <v>0</v>
      </c>
      <c r="BH24" s="2">
        <v>0.15</v>
      </c>
      <c r="BI24" s="2">
        <v>0</v>
      </c>
      <c r="BJ24" s="2" t="s">
        <v>176</v>
      </c>
      <c r="BK24" s="2">
        <v>1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/>
      <c r="BT24" s="2">
        <v>8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3">
        <f t="shared" ref="CN24:CN30" si="18">SUM(BT24:CM24)</f>
        <v>8</v>
      </c>
      <c r="CO24" s="10">
        <f t="shared" si="6"/>
        <v>256</v>
      </c>
      <c r="CP24" s="10">
        <f t="shared" ref="CP24:CP30" si="19">SUM(BT24:CG24,CI24:CM24)</f>
        <v>8</v>
      </c>
      <c r="CQ24" s="24">
        <f>SUM(tbSabana2016[[#This Row],[Voluntarios]])</f>
        <v>0</v>
      </c>
      <c r="CR24" s="8">
        <f>tbSabana2016[[#This Row],[CONAFOR (Oficiales)]]*383</f>
        <v>3064</v>
      </c>
      <c r="CS24" s="8">
        <f>(tbSabana2016[[#This Row],[Total (Oficiales)]]-tbSabana2016[[#This Row],[CONAFOR (Oficiales)]])*217</f>
        <v>0</v>
      </c>
      <c r="CT24" s="8">
        <f>SUM(tbSabana2016[[#This Row],[Costo CONAFOR]:[Costo Otros]])</f>
        <v>3064</v>
      </c>
      <c r="CU24" s="8">
        <v>1045</v>
      </c>
      <c r="CV24" s="8">
        <f t="shared" ref="CV24:CV30" si="20">SUM(CT24:CU24)</f>
        <v>4109</v>
      </c>
      <c r="CW24" s="2" t="s">
        <v>154</v>
      </c>
      <c r="CX24" s="2" t="s">
        <v>154</v>
      </c>
      <c r="CY24" s="69" t="s">
        <v>154</v>
      </c>
      <c r="CZ24" s="2" t="s">
        <v>154</v>
      </c>
      <c r="DA24" s="2" t="s">
        <v>172</v>
      </c>
      <c r="DB24" s="2" t="s">
        <v>155</v>
      </c>
      <c r="DC24" s="2" t="s">
        <v>256</v>
      </c>
      <c r="DD24" s="2" t="s">
        <v>257</v>
      </c>
      <c r="DE24" s="2" t="s">
        <v>158</v>
      </c>
      <c r="DF24" s="2" t="s">
        <v>159</v>
      </c>
      <c r="DG24" s="2" t="s">
        <v>160</v>
      </c>
      <c r="DH24" s="2">
        <v>0</v>
      </c>
      <c r="DI24" s="2">
        <v>0</v>
      </c>
      <c r="DJ24" s="2">
        <v>0</v>
      </c>
      <c r="DK24" s="2">
        <v>3.79</v>
      </c>
      <c r="DL24" s="2">
        <v>0</v>
      </c>
      <c r="DM24" s="2">
        <v>0</v>
      </c>
      <c r="DN24" s="2">
        <f t="shared" ref="DN24:DN30" si="21">SUM(DH24:DM24)</f>
        <v>3.79</v>
      </c>
      <c r="DO24" s="29"/>
      <c r="DP24" s="30"/>
      <c r="DQ24" s="30"/>
      <c r="DR24" s="30"/>
      <c r="DS24" s="30"/>
      <c r="DT24" s="30"/>
      <c r="DU24" s="30"/>
      <c r="DV24" s="30"/>
    </row>
    <row r="25" spans="1:126" s="31" customFormat="1" ht="15.75" customHeight="1" x14ac:dyDescent="0.25">
      <c r="A25" s="2" t="s">
        <v>258</v>
      </c>
      <c r="B25" s="25">
        <v>21</v>
      </c>
      <c r="C25" s="35">
        <v>43513</v>
      </c>
      <c r="D25" s="35">
        <v>43513</v>
      </c>
      <c r="E2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5" s="2">
        <v>15</v>
      </c>
      <c r="G25" s="2">
        <v>1</v>
      </c>
      <c r="H25" s="47">
        <f>WEEKNUM(tbSabana2016[[#This Row],[Fecha de Inicio]],15)</f>
        <v>8</v>
      </c>
      <c r="I25" s="36" t="str">
        <f>TEXT(tbSabana2016[[#This Row],[Fecha de Inicio]],"dddd")</f>
        <v>domingo</v>
      </c>
      <c r="J25" s="36" t="str">
        <f>TEXT(tbSabana2016[[#This Row],[Fecha de Inicio]],"mmmm")</f>
        <v>febrero</v>
      </c>
      <c r="K25" s="37" t="s">
        <v>143</v>
      </c>
      <c r="L25" s="23">
        <v>20</v>
      </c>
      <c r="M25" s="38" t="s">
        <v>162</v>
      </c>
      <c r="N25" s="38" t="s">
        <v>163</v>
      </c>
      <c r="O25" s="38" t="s">
        <v>259</v>
      </c>
      <c r="P25" s="38" t="s">
        <v>174</v>
      </c>
      <c r="Q25" s="47">
        <v>18</v>
      </c>
      <c r="R25" s="102">
        <v>58</v>
      </c>
      <c r="S25" s="105">
        <v>24.23</v>
      </c>
      <c r="T25" s="102">
        <v>99</v>
      </c>
      <c r="U25" s="102">
        <v>10</v>
      </c>
      <c r="V25" s="105">
        <v>44.73</v>
      </c>
      <c r="W2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24.23'' W 99° 10' 44.73''</v>
      </c>
      <c r="X25" s="44">
        <v>1398</v>
      </c>
      <c r="Y25" s="19">
        <v>0</v>
      </c>
      <c r="Z25" s="19">
        <v>0</v>
      </c>
      <c r="AA25" s="19">
        <v>0.5</v>
      </c>
      <c r="AB25" s="19">
        <v>0</v>
      </c>
      <c r="AC25" s="19">
        <v>0</v>
      </c>
      <c r="AD25" s="19">
        <v>0</v>
      </c>
      <c r="AE25" s="19">
        <f>SUM(tbSabana2016[[#This Row],[Arbolado Adulto (HA)]:[Suelo Orgánico (HA)]])</f>
        <v>0.5</v>
      </c>
      <c r="AF25" s="9">
        <f t="shared" si="17"/>
        <v>178.38000000000002</v>
      </c>
      <c r="AG25" s="9">
        <f>tbSabana2016[[#This Row],[Acumulado (HA)]]/tbSabana2016[[#This Row],[Incendio en el AÑO]]</f>
        <v>8.4942857142857147</v>
      </c>
      <c r="AH25" s="2" t="s">
        <v>147</v>
      </c>
      <c r="AI25" s="2" t="s">
        <v>165</v>
      </c>
      <c r="AJ25" s="2" t="s">
        <v>135</v>
      </c>
      <c r="AK25" s="2" t="s">
        <v>175</v>
      </c>
      <c r="AL25" s="2" t="s">
        <v>150</v>
      </c>
      <c r="AM25" s="2" t="s">
        <v>151</v>
      </c>
      <c r="AN25" s="32">
        <v>43513.522222222222</v>
      </c>
      <c r="AO25" s="32">
        <v>43513.524305555555</v>
      </c>
      <c r="AP25" s="32">
        <v>43513.527777777781</v>
      </c>
      <c r="AQ25" s="32">
        <v>43513.555555555555</v>
      </c>
      <c r="AR25" s="32">
        <v>43513.556944444441</v>
      </c>
      <c r="AS25" s="32"/>
      <c r="AT25" s="32" t="s">
        <v>260</v>
      </c>
      <c r="AU25" s="32">
        <v>43513.590277777781</v>
      </c>
      <c r="AV25" s="32">
        <v>43513.604166666664</v>
      </c>
      <c r="AW25" s="40">
        <v>6.805555555555555E-2</v>
      </c>
      <c r="AX25" s="39">
        <v>2.0833333333333333E-3</v>
      </c>
      <c r="AY25" s="39">
        <v>3.125E-2</v>
      </c>
      <c r="AZ25" s="40">
        <f>SUM(tbSabana2016[[#This Row],[Duración]])</f>
        <v>6.805555555555555E-2</v>
      </c>
      <c r="BA25" s="2">
        <v>0.04</v>
      </c>
      <c r="BB25" s="2">
        <v>0.03</v>
      </c>
      <c r="BC25" s="2">
        <v>0</v>
      </c>
      <c r="BD25" s="2">
        <v>1.4999999999999999E-2</v>
      </c>
      <c r="BE25" s="2">
        <v>0.03</v>
      </c>
      <c r="BF25" s="2">
        <v>0</v>
      </c>
      <c r="BG25" s="2">
        <v>0</v>
      </c>
      <c r="BH25" s="2">
        <v>0</v>
      </c>
      <c r="BI25" s="2">
        <v>0</v>
      </c>
      <c r="BJ25" s="2" t="s">
        <v>179</v>
      </c>
      <c r="BK25" s="2">
        <v>0</v>
      </c>
      <c r="BL25" s="2">
        <v>0</v>
      </c>
      <c r="BM25" s="2">
        <v>0</v>
      </c>
      <c r="BN25" s="2">
        <v>1</v>
      </c>
      <c r="BO25" s="2">
        <v>0</v>
      </c>
      <c r="BP25" s="2">
        <v>0</v>
      </c>
      <c r="BQ25" s="2">
        <v>0</v>
      </c>
      <c r="BR25" s="2">
        <v>0</v>
      </c>
      <c r="BS25" s="2" t="s">
        <v>252</v>
      </c>
      <c r="BT25" s="2">
        <v>10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3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3">
        <f t="shared" si="18"/>
        <v>13</v>
      </c>
      <c r="CO25" s="10">
        <f t="shared" si="6"/>
        <v>269</v>
      </c>
      <c r="CP25" s="10">
        <f t="shared" si="19"/>
        <v>13</v>
      </c>
      <c r="CQ25" s="24">
        <f>SUM(tbSabana2016[[#This Row],[Voluntarios]])</f>
        <v>0</v>
      </c>
      <c r="CR25" s="8">
        <f>tbSabana2016[[#This Row],[CONAFOR (Oficiales)]]*383</f>
        <v>3830</v>
      </c>
      <c r="CS25" s="8">
        <f>(tbSabana2016[[#This Row],[Total (Oficiales)]]-tbSabana2016[[#This Row],[CONAFOR (Oficiales)]])*217</f>
        <v>651</v>
      </c>
      <c r="CT25" s="8">
        <f>SUM(tbSabana2016[[#This Row],[Costo CONAFOR]:[Costo Otros]])</f>
        <v>4481</v>
      </c>
      <c r="CU25" s="8">
        <v>261.26</v>
      </c>
      <c r="CV25" s="8">
        <f t="shared" si="20"/>
        <v>4742.26</v>
      </c>
      <c r="CW25" s="2" t="s">
        <v>154</v>
      </c>
      <c r="CX25" s="2" t="s">
        <v>154</v>
      </c>
      <c r="CY25" s="69" t="s">
        <v>154</v>
      </c>
      <c r="CZ25" s="2" t="s">
        <v>154</v>
      </c>
      <c r="DA25" s="2" t="s">
        <v>172</v>
      </c>
      <c r="DB25" s="2" t="s">
        <v>155</v>
      </c>
      <c r="DC25" s="2" t="s">
        <v>168</v>
      </c>
      <c r="DD25" s="2" t="s">
        <v>169</v>
      </c>
      <c r="DE25" s="2" t="s">
        <v>170</v>
      </c>
      <c r="DF25" s="2" t="s">
        <v>159</v>
      </c>
      <c r="DG25" s="2" t="s">
        <v>171</v>
      </c>
      <c r="DH25" s="2">
        <v>0</v>
      </c>
      <c r="DI25" s="2">
        <v>0</v>
      </c>
      <c r="DJ25" s="2">
        <v>0.5</v>
      </c>
      <c r="DK25" s="2">
        <v>0</v>
      </c>
      <c r="DL25" s="2">
        <v>0</v>
      </c>
      <c r="DM25" s="2">
        <v>0</v>
      </c>
      <c r="DN25" s="2">
        <f t="shared" si="21"/>
        <v>0.5</v>
      </c>
      <c r="DO25" s="29"/>
      <c r="DP25" s="30"/>
      <c r="DQ25" s="30"/>
      <c r="DR25" s="30"/>
      <c r="DS25" s="30"/>
      <c r="DT25" s="30"/>
      <c r="DU25" s="30"/>
      <c r="DV25" s="30"/>
    </row>
    <row r="26" spans="1:126" s="31" customFormat="1" ht="15.75" customHeight="1" x14ac:dyDescent="0.25">
      <c r="A26" s="2" t="s">
        <v>261</v>
      </c>
      <c r="B26" s="25">
        <v>22</v>
      </c>
      <c r="C26" s="35">
        <v>43514</v>
      </c>
      <c r="D26" s="35">
        <v>43515</v>
      </c>
      <c r="E26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26" s="2">
        <v>16</v>
      </c>
      <c r="G26" s="2">
        <v>1</v>
      </c>
      <c r="H26" s="47">
        <f>WEEKNUM(tbSabana2016[[#This Row],[Fecha de Inicio]],15)</f>
        <v>8</v>
      </c>
      <c r="I26" s="36" t="str">
        <f>TEXT(tbSabana2016[[#This Row],[Fecha de Inicio]],"dddd")</f>
        <v>lunes</v>
      </c>
      <c r="J26" s="36" t="str">
        <f>TEXT(tbSabana2016[[#This Row],[Fecha de Inicio]],"mmmm")</f>
        <v>febrero</v>
      </c>
      <c r="K26" s="37" t="s">
        <v>143</v>
      </c>
      <c r="L26" s="23">
        <v>29</v>
      </c>
      <c r="M26" s="38" t="s">
        <v>231</v>
      </c>
      <c r="N26" s="38" t="s">
        <v>231</v>
      </c>
      <c r="O26" s="38" t="s">
        <v>265</v>
      </c>
      <c r="P26" s="38"/>
      <c r="Q26" s="47">
        <v>18</v>
      </c>
      <c r="R26" s="102">
        <v>51</v>
      </c>
      <c r="S26" s="105">
        <v>54.3</v>
      </c>
      <c r="T26" s="102">
        <v>99</v>
      </c>
      <c r="U26" s="102">
        <v>7</v>
      </c>
      <c r="V26" s="105">
        <v>8.02</v>
      </c>
      <c r="W2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51' 54.30'' W 99° 07' 08.02''</v>
      </c>
      <c r="X26" s="44">
        <v>1470</v>
      </c>
      <c r="Y26" s="19">
        <v>0</v>
      </c>
      <c r="Z26" s="19">
        <v>0</v>
      </c>
      <c r="AA26" s="19">
        <v>2</v>
      </c>
      <c r="AB26" s="19">
        <v>1.4</v>
      </c>
      <c r="AC26" s="19">
        <v>0</v>
      </c>
      <c r="AD26" s="19">
        <v>0</v>
      </c>
      <c r="AE26" s="19">
        <f>SUM(tbSabana2016[[#This Row],[Arbolado Adulto (HA)]:[Suelo Orgánico (HA)]])</f>
        <v>3.4</v>
      </c>
      <c r="AF26" s="9">
        <f t="shared" si="17"/>
        <v>181.78000000000003</v>
      </c>
      <c r="AG26" s="9">
        <f>tbSabana2016[[#This Row],[Acumulado (HA)]]/tbSabana2016[[#This Row],[Incendio en el AÑO]]</f>
        <v>8.2627272727272736</v>
      </c>
      <c r="AH26" s="2" t="s">
        <v>147</v>
      </c>
      <c r="AI26" s="2" t="s">
        <v>165</v>
      </c>
      <c r="AJ26" s="2" t="s">
        <v>135</v>
      </c>
      <c r="AK26" s="2" t="s">
        <v>266</v>
      </c>
      <c r="AL26" s="2" t="s">
        <v>150</v>
      </c>
      <c r="AM26" s="2" t="s">
        <v>151</v>
      </c>
      <c r="AN26" s="32">
        <v>43514.652777777781</v>
      </c>
      <c r="AO26" s="32">
        <v>43514.65625</v>
      </c>
      <c r="AP26" s="32">
        <v>43514.659722222219</v>
      </c>
      <c r="AQ26" s="32">
        <v>43514.680555555555</v>
      </c>
      <c r="AR26" s="32">
        <v>43514.680555555555</v>
      </c>
      <c r="AS26" s="32"/>
      <c r="AT26" s="32">
        <v>43515.458333333336</v>
      </c>
      <c r="AU26" s="32">
        <v>43515.513888888891</v>
      </c>
      <c r="AV26" s="32">
        <v>43515.534722222219</v>
      </c>
      <c r="AW26" s="40">
        <v>0.86111111111111116</v>
      </c>
      <c r="AX26" s="39">
        <v>3.472222222222222E-3</v>
      </c>
      <c r="AY26" s="39">
        <v>2.4305555555555556E-2</v>
      </c>
      <c r="AZ26" s="40">
        <f>SUM(tbSabana2016[[#This Row],[Duración]])</f>
        <v>0.86111111111111116</v>
      </c>
      <c r="BA26" s="2">
        <v>0.3</v>
      </c>
      <c r="BB26" s="2">
        <v>0.7</v>
      </c>
      <c r="BC26" s="2">
        <v>0</v>
      </c>
      <c r="BD26" s="2">
        <v>0</v>
      </c>
      <c r="BE26" s="2">
        <v>0.2</v>
      </c>
      <c r="BF26" s="2">
        <v>0</v>
      </c>
      <c r="BG26" s="2">
        <v>0</v>
      </c>
      <c r="BH26" s="2">
        <v>0.6</v>
      </c>
      <c r="BI26" s="2">
        <v>0</v>
      </c>
      <c r="BJ26" s="2" t="s">
        <v>264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 t="s">
        <v>243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23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3">
        <f t="shared" si="18"/>
        <v>23</v>
      </c>
      <c r="CO26" s="10">
        <f t="shared" si="6"/>
        <v>292</v>
      </c>
      <c r="CP26" s="10">
        <f t="shared" si="19"/>
        <v>23</v>
      </c>
      <c r="CQ26" s="24">
        <f>SUM(tbSabana2016[[#This Row],[Voluntarios]])</f>
        <v>0</v>
      </c>
      <c r="CR26" s="8">
        <f>tbSabana2016[[#This Row],[CONAFOR (Oficiales)]]*383</f>
        <v>0</v>
      </c>
      <c r="CS26" s="8">
        <f>(tbSabana2016[[#This Row],[Total (Oficiales)]]-tbSabana2016[[#This Row],[CONAFOR (Oficiales)]])*217</f>
        <v>4991</v>
      </c>
      <c r="CT26" s="8">
        <f>SUM(tbSabana2016[[#This Row],[Costo CONAFOR]:[Costo Otros]])</f>
        <v>4991</v>
      </c>
      <c r="CU26" s="8">
        <v>760</v>
      </c>
      <c r="CV26" s="8">
        <f t="shared" si="20"/>
        <v>5751</v>
      </c>
      <c r="CW26" s="2" t="s">
        <v>154</v>
      </c>
      <c r="CX26" s="2" t="s">
        <v>154</v>
      </c>
      <c r="CY26" s="69" t="s">
        <v>154</v>
      </c>
      <c r="CZ26" s="2" t="s">
        <v>154</v>
      </c>
      <c r="DA26" s="2" t="s">
        <v>172</v>
      </c>
      <c r="DB26" s="2" t="s">
        <v>155</v>
      </c>
      <c r="DC26" s="2" t="s">
        <v>168</v>
      </c>
      <c r="DD26" s="2" t="s">
        <v>169</v>
      </c>
      <c r="DE26" s="2" t="s">
        <v>267</v>
      </c>
      <c r="DF26" s="2" t="s">
        <v>159</v>
      </c>
      <c r="DG26" s="2" t="s">
        <v>268</v>
      </c>
      <c r="DH26" s="2">
        <v>0</v>
      </c>
      <c r="DI26" s="2">
        <v>0</v>
      </c>
      <c r="DJ26" s="2">
        <v>2</v>
      </c>
      <c r="DK26" s="2">
        <v>1.4</v>
      </c>
      <c r="DL26" s="2">
        <v>0</v>
      </c>
      <c r="DM26" s="2">
        <v>0</v>
      </c>
      <c r="DN26" s="2">
        <f t="shared" si="21"/>
        <v>3.4</v>
      </c>
      <c r="DO26" s="29"/>
      <c r="DP26" s="30"/>
      <c r="DQ26" s="30"/>
      <c r="DR26" s="30"/>
      <c r="DS26" s="30"/>
      <c r="DT26" s="30"/>
      <c r="DU26" s="30"/>
      <c r="DV26" s="30"/>
    </row>
    <row r="27" spans="1:126" s="31" customFormat="1" ht="15.75" x14ac:dyDescent="0.25">
      <c r="A27" s="2" t="s">
        <v>262</v>
      </c>
      <c r="B27" s="25">
        <v>23</v>
      </c>
      <c r="C27" s="35">
        <v>43514</v>
      </c>
      <c r="D27" s="35">
        <v>43514</v>
      </c>
      <c r="E2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7" s="2">
        <v>17</v>
      </c>
      <c r="G27" s="2">
        <v>1</v>
      </c>
      <c r="H27" s="47">
        <f>WEEKNUM(tbSabana2016[[#This Row],[Fecha de Inicio]],15)</f>
        <v>8</v>
      </c>
      <c r="I27" s="36" t="str">
        <f>TEXT(tbSabana2016[[#This Row],[Fecha de Inicio]],"dddd")</f>
        <v>lunes</v>
      </c>
      <c r="J27" s="36" t="str">
        <f>TEXT(tbSabana2016[[#This Row],[Fecha de Inicio]],"mmmm")</f>
        <v>febrero</v>
      </c>
      <c r="K27" s="37" t="s">
        <v>143</v>
      </c>
      <c r="L27" s="23">
        <v>20</v>
      </c>
      <c r="M27" s="38" t="s">
        <v>162</v>
      </c>
      <c r="N27" s="38" t="s">
        <v>269</v>
      </c>
      <c r="O27" s="38" t="s">
        <v>263</v>
      </c>
      <c r="P27" s="38"/>
      <c r="Q27" s="47">
        <v>19</v>
      </c>
      <c r="R27" s="102">
        <v>3</v>
      </c>
      <c r="S27" s="105">
        <v>7.18</v>
      </c>
      <c r="T27" s="102">
        <v>99</v>
      </c>
      <c r="U27" s="102">
        <v>4</v>
      </c>
      <c r="V27" s="105">
        <v>39.479999999999997</v>
      </c>
      <c r="W2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07.18'' W 99° 04' 39.48''</v>
      </c>
      <c r="X27" s="44">
        <v>2935</v>
      </c>
      <c r="Y27" s="19">
        <v>0</v>
      </c>
      <c r="Z27" s="19">
        <v>0</v>
      </c>
      <c r="AA27" s="19">
        <v>1</v>
      </c>
      <c r="AB27" s="19">
        <v>3.24</v>
      </c>
      <c r="AC27" s="19">
        <v>0</v>
      </c>
      <c r="AD27" s="19">
        <v>0</v>
      </c>
      <c r="AE27" s="19">
        <f>SUM(tbSabana2016[[#This Row],[Arbolado Adulto (HA)]:[Suelo Orgánico (HA)]])</f>
        <v>4.24</v>
      </c>
      <c r="AF27" s="9">
        <f t="shared" si="17"/>
        <v>186.02000000000004</v>
      </c>
      <c r="AG27" s="9">
        <f>tbSabana2016[[#This Row],[Acumulado (HA)]]/tbSabana2016[[#This Row],[Incendio en el AÑO]]</f>
        <v>8.0878260869565235</v>
      </c>
      <c r="AH27" s="2" t="s">
        <v>147</v>
      </c>
      <c r="AI27" s="2" t="s">
        <v>165</v>
      </c>
      <c r="AJ27" s="2" t="s">
        <v>133</v>
      </c>
      <c r="AK27" s="2" t="s">
        <v>149</v>
      </c>
      <c r="AL27" s="2" t="s">
        <v>150</v>
      </c>
      <c r="AM27" s="2" t="s">
        <v>151</v>
      </c>
      <c r="AN27" s="32">
        <v>43514.5625</v>
      </c>
      <c r="AO27" s="32">
        <v>43514.565972222219</v>
      </c>
      <c r="AP27" s="32">
        <v>43514.569444444445</v>
      </c>
      <c r="AQ27" s="32">
        <v>43514.659722222219</v>
      </c>
      <c r="AR27" s="32">
        <v>43514.663194444445</v>
      </c>
      <c r="AS27" s="32"/>
      <c r="AT27" s="32">
        <v>43514.791666666664</v>
      </c>
      <c r="AU27" s="32">
        <v>43514.8125</v>
      </c>
      <c r="AV27" s="32">
        <v>43514.916666666664</v>
      </c>
      <c r="AW27" s="40">
        <v>0.25</v>
      </c>
      <c r="AX27" s="39">
        <v>3.472222222222222E-3</v>
      </c>
      <c r="AY27" s="39">
        <v>9.375E-2</v>
      </c>
      <c r="AZ27" s="40">
        <f>SUM(tbSabana2016[[#This Row],[Duración]])</f>
        <v>0.25</v>
      </c>
      <c r="BA27" s="2">
        <v>0.35</v>
      </c>
      <c r="BB27" s="2">
        <v>0.4</v>
      </c>
      <c r="BC27" s="2">
        <v>0</v>
      </c>
      <c r="BD27" s="2">
        <v>0</v>
      </c>
      <c r="BE27" s="2">
        <v>0.3</v>
      </c>
      <c r="BF27" s="2">
        <v>0</v>
      </c>
      <c r="BG27" s="2">
        <v>0</v>
      </c>
      <c r="BH27" s="2">
        <v>0</v>
      </c>
      <c r="BI27" s="2">
        <v>0</v>
      </c>
      <c r="BJ27" s="2" t="s">
        <v>206</v>
      </c>
      <c r="BK27" s="2">
        <v>1</v>
      </c>
      <c r="BL27" s="2">
        <v>0</v>
      </c>
      <c r="BM27" s="2">
        <v>1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/>
      <c r="BT27" s="2">
        <v>18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3">
        <f t="shared" si="18"/>
        <v>18</v>
      </c>
      <c r="CO27" s="10">
        <f t="shared" si="6"/>
        <v>310</v>
      </c>
      <c r="CP27" s="10">
        <f t="shared" si="19"/>
        <v>18</v>
      </c>
      <c r="CQ27" s="24">
        <f>SUM(tbSabana2016[[#This Row],[Voluntarios]])</f>
        <v>0</v>
      </c>
      <c r="CR27" s="8">
        <f>tbSabana2016[[#This Row],[CONAFOR (Oficiales)]]*383</f>
        <v>6894</v>
      </c>
      <c r="CS27" s="8">
        <f>(tbSabana2016[[#This Row],[Total (Oficiales)]]-tbSabana2016[[#This Row],[CONAFOR (Oficiales)]])*217</f>
        <v>0</v>
      </c>
      <c r="CT27" s="8">
        <f>SUM(tbSabana2016[[#This Row],[Costo CONAFOR]:[Costo Otros]])</f>
        <v>6894</v>
      </c>
      <c r="CU27" s="8">
        <v>741</v>
      </c>
      <c r="CV27" s="8">
        <f t="shared" si="20"/>
        <v>7635</v>
      </c>
      <c r="CW27" s="2" t="s">
        <v>154</v>
      </c>
      <c r="CX27" s="2" t="s">
        <v>154</v>
      </c>
      <c r="CY27" s="69" t="s">
        <v>154</v>
      </c>
      <c r="CZ27" s="2" t="s">
        <v>154</v>
      </c>
      <c r="DA27" s="2" t="s">
        <v>172</v>
      </c>
      <c r="DB27" s="2" t="s">
        <v>155</v>
      </c>
      <c r="DC27" s="2" t="s">
        <v>156</v>
      </c>
      <c r="DD27" s="2" t="s">
        <v>157</v>
      </c>
      <c r="DE27" s="2" t="s">
        <v>170</v>
      </c>
      <c r="DF27" s="2" t="s">
        <v>159</v>
      </c>
      <c r="DG27" s="2" t="s">
        <v>171</v>
      </c>
      <c r="DH27" s="2">
        <v>0</v>
      </c>
      <c r="DI27" s="2">
        <v>0</v>
      </c>
      <c r="DJ27" s="2">
        <v>1</v>
      </c>
      <c r="DK27" s="2">
        <v>3.24</v>
      </c>
      <c r="DL27" s="2">
        <v>0</v>
      </c>
      <c r="DM27" s="2">
        <v>0</v>
      </c>
      <c r="DN27" s="2">
        <f t="shared" si="21"/>
        <v>4.24</v>
      </c>
      <c r="DO27" s="29"/>
      <c r="DP27" s="30"/>
      <c r="DQ27" s="30"/>
      <c r="DR27" s="30"/>
      <c r="DS27" s="30"/>
      <c r="DT27" s="30"/>
      <c r="DU27" s="30"/>
      <c r="DV27" s="30"/>
    </row>
    <row r="28" spans="1:126" s="31" customFormat="1" ht="15.75" x14ac:dyDescent="0.25">
      <c r="A28" s="2" t="s">
        <v>270</v>
      </c>
      <c r="B28" s="25">
        <v>24</v>
      </c>
      <c r="C28" s="35">
        <v>43515</v>
      </c>
      <c r="D28" s="35">
        <v>43515</v>
      </c>
      <c r="E2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8" s="2">
        <v>18</v>
      </c>
      <c r="G28" s="2">
        <v>1</v>
      </c>
      <c r="H28" s="47">
        <f>WEEKNUM(tbSabana2016[[#This Row],[Fecha de Inicio]],15)</f>
        <v>8</v>
      </c>
      <c r="I28" s="36" t="str">
        <f>TEXT(tbSabana2016[[#This Row],[Fecha de Inicio]],"dddd")</f>
        <v>martes</v>
      </c>
      <c r="J28" s="36" t="str">
        <f>TEXT(tbSabana2016[[#This Row],[Fecha de Inicio]],"mmmm")</f>
        <v>febrero</v>
      </c>
      <c r="K28" s="37" t="s">
        <v>143</v>
      </c>
      <c r="L28" s="23">
        <v>20</v>
      </c>
      <c r="M28" s="38" t="s">
        <v>162</v>
      </c>
      <c r="N28" s="38" t="s">
        <v>269</v>
      </c>
      <c r="O28" s="38" t="s">
        <v>271</v>
      </c>
      <c r="P28" s="38" t="s">
        <v>182</v>
      </c>
      <c r="Q28" s="47">
        <v>19</v>
      </c>
      <c r="R28" s="102">
        <v>2</v>
      </c>
      <c r="S28" s="105">
        <v>53.19</v>
      </c>
      <c r="T28" s="102">
        <v>99</v>
      </c>
      <c r="U28" s="102">
        <v>5</v>
      </c>
      <c r="V28" s="105">
        <v>5.28</v>
      </c>
      <c r="W2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53.19'' W 99° 05' 05.28''</v>
      </c>
      <c r="X28" s="44">
        <v>2901</v>
      </c>
      <c r="Y28" s="19">
        <v>0</v>
      </c>
      <c r="Z28" s="19">
        <v>0</v>
      </c>
      <c r="AA28" s="19">
        <v>1</v>
      </c>
      <c r="AB28" s="19">
        <v>3.63</v>
      </c>
      <c r="AC28" s="19">
        <v>0</v>
      </c>
      <c r="AD28" s="19">
        <v>0</v>
      </c>
      <c r="AE28" s="19">
        <f>SUM(tbSabana2016[[#This Row],[Arbolado Adulto (HA)]:[Suelo Orgánico (HA)]])</f>
        <v>4.63</v>
      </c>
      <c r="AF28" s="9">
        <f t="shared" si="17"/>
        <v>190.65000000000003</v>
      </c>
      <c r="AG28" s="9">
        <f>tbSabana2016[[#This Row],[Acumulado (HA)]]/tbSabana2016[[#This Row],[Incendio en el AÑO]]</f>
        <v>7.9437500000000014</v>
      </c>
      <c r="AH28" s="2" t="s">
        <v>147</v>
      </c>
      <c r="AI28" s="2" t="s">
        <v>165</v>
      </c>
      <c r="AJ28" s="2" t="s">
        <v>133</v>
      </c>
      <c r="AK28" s="2" t="s">
        <v>149</v>
      </c>
      <c r="AL28" s="2" t="s">
        <v>150</v>
      </c>
      <c r="AM28" s="2" t="s">
        <v>151</v>
      </c>
      <c r="AN28" s="32">
        <v>43515.486111111109</v>
      </c>
      <c r="AO28" s="32">
        <v>43515.489583333336</v>
      </c>
      <c r="AP28" s="32">
        <v>43515.493055555555</v>
      </c>
      <c r="AQ28" s="32">
        <v>43515.576388888891</v>
      </c>
      <c r="AR28" s="32">
        <v>43515.579861111109</v>
      </c>
      <c r="AS28" s="32"/>
      <c r="AT28" s="32">
        <v>43515.791666666664</v>
      </c>
      <c r="AU28" s="32">
        <v>43515.833333333336</v>
      </c>
      <c r="AV28" s="32">
        <v>43515.916666666664</v>
      </c>
      <c r="AW28" s="40">
        <v>0.34722222222222227</v>
      </c>
      <c r="AX28" s="39">
        <v>3.472222222222222E-3</v>
      </c>
      <c r="AY28" s="39">
        <v>8.6805555555555566E-2</v>
      </c>
      <c r="AZ28" s="40">
        <f>SUM(tbSabana2016[[#This Row],[Duración]])</f>
        <v>0.34722222222222227</v>
      </c>
      <c r="BA28" s="2">
        <v>0.2</v>
      </c>
      <c r="BB28" s="2">
        <v>0.4</v>
      </c>
      <c r="BC28" s="2">
        <v>0</v>
      </c>
      <c r="BD28" s="2">
        <v>0</v>
      </c>
      <c r="BE28" s="2">
        <v>0.4</v>
      </c>
      <c r="BF28" s="2">
        <v>0</v>
      </c>
      <c r="BG28" s="2">
        <v>0</v>
      </c>
      <c r="BH28" s="2">
        <v>0</v>
      </c>
      <c r="BI28" s="2">
        <v>0</v>
      </c>
      <c r="BJ28" s="2" t="s">
        <v>206</v>
      </c>
      <c r="BK28" s="2">
        <v>0</v>
      </c>
      <c r="BL28" s="2">
        <v>0</v>
      </c>
      <c r="BM28" s="2">
        <v>1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/>
      <c r="BT28" s="2">
        <v>10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3">
        <f t="shared" si="18"/>
        <v>10</v>
      </c>
      <c r="CO28" s="10">
        <f>SUM(CO27,CN28)</f>
        <v>320</v>
      </c>
      <c r="CP28" s="10">
        <f t="shared" si="19"/>
        <v>10</v>
      </c>
      <c r="CQ28" s="24">
        <f>SUM(tbSabana2016[[#This Row],[Voluntarios]])</f>
        <v>0</v>
      </c>
      <c r="CR28" s="8">
        <f>tbSabana2016[[#This Row],[CONAFOR (Oficiales)]]*383</f>
        <v>3830</v>
      </c>
      <c r="CS28" s="8">
        <f>(tbSabana2016[[#This Row],[Total (Oficiales)]]-tbSabana2016[[#This Row],[CONAFOR (Oficiales)]])*217</f>
        <v>0</v>
      </c>
      <c r="CT28" s="8">
        <f>SUM(tbSabana2016[[#This Row],[Costo CONAFOR]:[Costo Otros]])</f>
        <v>3830</v>
      </c>
      <c r="CU28" s="8">
        <v>380</v>
      </c>
      <c r="CV28" s="8">
        <f t="shared" si="20"/>
        <v>4210</v>
      </c>
      <c r="CW28" s="2" t="s">
        <v>154</v>
      </c>
      <c r="CX28" s="2" t="s">
        <v>154</v>
      </c>
      <c r="CY28" s="69" t="s">
        <v>154</v>
      </c>
      <c r="CZ28" s="2" t="s">
        <v>154</v>
      </c>
      <c r="DA28" s="2" t="s">
        <v>172</v>
      </c>
      <c r="DB28" s="2" t="s">
        <v>155</v>
      </c>
      <c r="DC28" s="2" t="s">
        <v>156</v>
      </c>
      <c r="DD28" s="2" t="s">
        <v>157</v>
      </c>
      <c r="DE28" s="2" t="s">
        <v>170</v>
      </c>
      <c r="DF28" s="2" t="s">
        <v>159</v>
      </c>
      <c r="DG28" s="2" t="s">
        <v>171</v>
      </c>
      <c r="DH28" s="2">
        <v>0</v>
      </c>
      <c r="DI28" s="2">
        <v>0</v>
      </c>
      <c r="DJ28" s="2">
        <v>1</v>
      </c>
      <c r="DK28" s="2">
        <v>3.63</v>
      </c>
      <c r="DL28" s="2">
        <v>0</v>
      </c>
      <c r="DM28" s="2">
        <v>0</v>
      </c>
      <c r="DN28" s="2">
        <f t="shared" si="21"/>
        <v>4.63</v>
      </c>
      <c r="DO28" s="29"/>
      <c r="DP28" s="30"/>
      <c r="DQ28" s="30"/>
      <c r="DR28" s="30"/>
      <c r="DS28" s="30"/>
      <c r="DT28" s="30"/>
      <c r="DU28" s="30"/>
      <c r="DV28" s="30"/>
    </row>
    <row r="29" spans="1:126" s="31" customFormat="1" ht="15.75" x14ac:dyDescent="0.25">
      <c r="A29" s="2" t="s">
        <v>272</v>
      </c>
      <c r="B29" s="25">
        <v>25</v>
      </c>
      <c r="C29" s="35">
        <v>43516</v>
      </c>
      <c r="D29" s="35">
        <v>43516</v>
      </c>
      <c r="E2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29" s="2">
        <v>19</v>
      </c>
      <c r="G29" s="2">
        <v>1</v>
      </c>
      <c r="H29" s="47">
        <f>WEEKNUM(tbSabana2016[[#This Row],[Fecha de Inicio]],15)</f>
        <v>8</v>
      </c>
      <c r="I29" s="36" t="str">
        <f>TEXT(tbSabana2016[[#This Row],[Fecha de Inicio]],"dddd")</f>
        <v>miércoles</v>
      </c>
      <c r="J29" s="36" t="str">
        <f>TEXT(tbSabana2016[[#This Row],[Fecha de Inicio]],"mmmm")</f>
        <v>febrero</v>
      </c>
      <c r="K29" s="37" t="s">
        <v>143</v>
      </c>
      <c r="L29" s="23">
        <v>9</v>
      </c>
      <c r="M29" s="38" t="s">
        <v>144</v>
      </c>
      <c r="N29" s="38" t="s">
        <v>144</v>
      </c>
      <c r="O29" s="38" t="s">
        <v>275</v>
      </c>
      <c r="P29" s="38" t="s">
        <v>146</v>
      </c>
      <c r="Q29" s="47">
        <v>19</v>
      </c>
      <c r="R29" s="102">
        <v>5</v>
      </c>
      <c r="S29" s="105">
        <v>57.4</v>
      </c>
      <c r="T29" s="102">
        <v>99</v>
      </c>
      <c r="U29" s="102">
        <v>13</v>
      </c>
      <c r="V29" s="105">
        <v>57.3</v>
      </c>
      <c r="W2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05' 57.40'' W 99° 13' 57.30''</v>
      </c>
      <c r="X29" s="44">
        <v>2862</v>
      </c>
      <c r="Y29" s="19">
        <v>0</v>
      </c>
      <c r="Z29" s="19">
        <v>0</v>
      </c>
      <c r="AA29" s="19">
        <v>0</v>
      </c>
      <c r="AB29" s="19">
        <v>0.9</v>
      </c>
      <c r="AC29" s="19">
        <v>0</v>
      </c>
      <c r="AD29" s="19">
        <v>0</v>
      </c>
      <c r="AE29" s="19">
        <f>SUM(tbSabana2016[[#This Row],[Arbolado Adulto (HA)]:[Suelo Orgánico (HA)]])</f>
        <v>0.9</v>
      </c>
      <c r="AF29" s="9">
        <f t="shared" si="17"/>
        <v>191.55000000000004</v>
      </c>
      <c r="AG29" s="9">
        <f>tbSabana2016[[#This Row],[Acumulado (HA)]]/tbSabana2016[[#This Row],[Incendio en el AÑO]]</f>
        <v>7.6620000000000017</v>
      </c>
      <c r="AH29" s="2" t="s">
        <v>147</v>
      </c>
      <c r="AI29" s="2" t="s">
        <v>165</v>
      </c>
      <c r="AJ29" s="2" t="s">
        <v>133</v>
      </c>
      <c r="AK29" s="2" t="s">
        <v>149</v>
      </c>
      <c r="AL29" s="2" t="s">
        <v>150</v>
      </c>
      <c r="AM29" s="2" t="s">
        <v>151</v>
      </c>
      <c r="AN29" s="32">
        <v>43516.479166666664</v>
      </c>
      <c r="AO29" s="32">
        <v>43516.482638888891</v>
      </c>
      <c r="AP29" s="32">
        <v>43516.486111111109</v>
      </c>
      <c r="AQ29" s="32">
        <v>43516.524305555555</v>
      </c>
      <c r="AR29" s="32">
        <v>43516.527777777781</v>
      </c>
      <c r="AS29" s="32"/>
      <c r="AT29" s="32">
        <v>43516.576388888891</v>
      </c>
      <c r="AU29" s="32">
        <v>43516.583333333336</v>
      </c>
      <c r="AV29" s="32"/>
      <c r="AW29" s="40">
        <v>0.10416666666666667</v>
      </c>
      <c r="AX29" s="39">
        <v>3.472222222222222E-3</v>
      </c>
      <c r="AY29" s="39">
        <v>4.1666666666666664E-2</v>
      </c>
      <c r="AZ29" s="40">
        <f>SUM(tbSabana2016[[#This Row],[Duración]])</f>
        <v>0.10416666666666667</v>
      </c>
      <c r="BA29" s="2">
        <v>0.1</v>
      </c>
      <c r="BB29" s="2">
        <v>0.2</v>
      </c>
      <c r="BC29" s="2">
        <v>0</v>
      </c>
      <c r="BD29" s="2">
        <v>0</v>
      </c>
      <c r="BE29" s="2">
        <v>0.27</v>
      </c>
      <c r="BF29" s="2">
        <v>0</v>
      </c>
      <c r="BG29" s="2">
        <v>0</v>
      </c>
      <c r="BH29" s="2">
        <v>0.7</v>
      </c>
      <c r="BI29" s="2">
        <v>0</v>
      </c>
      <c r="BJ29" s="2" t="s">
        <v>176</v>
      </c>
      <c r="BK29" s="2">
        <v>1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/>
      <c r="BT29" s="2">
        <v>6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3">
        <f t="shared" si="18"/>
        <v>6</v>
      </c>
      <c r="CO29" s="10">
        <f t="shared" si="6"/>
        <v>326</v>
      </c>
      <c r="CP29" s="10">
        <f t="shared" si="19"/>
        <v>6</v>
      </c>
      <c r="CQ29" s="24">
        <f>SUM(tbSabana2016[[#This Row],[Voluntarios]])</f>
        <v>0</v>
      </c>
      <c r="CR29" s="8">
        <f>tbSabana2016[[#This Row],[CONAFOR (Oficiales)]]*383</f>
        <v>2298</v>
      </c>
      <c r="CS29" s="8">
        <f>(tbSabana2016[[#This Row],[Total (Oficiales)]]-tbSabana2016[[#This Row],[CONAFOR (Oficiales)]])*217</f>
        <v>0</v>
      </c>
      <c r="CT29" s="8">
        <f>SUM(tbSabana2016[[#This Row],[Costo CONAFOR]:[Costo Otros]])</f>
        <v>2298</v>
      </c>
      <c r="CU29" s="8">
        <v>228</v>
      </c>
      <c r="CV29" s="8">
        <f t="shared" si="20"/>
        <v>2526</v>
      </c>
      <c r="CW29" s="2" t="s">
        <v>154</v>
      </c>
      <c r="CX29" s="2" t="s">
        <v>154</v>
      </c>
      <c r="CY29" s="69" t="s">
        <v>154</v>
      </c>
      <c r="CZ29" s="2" t="s">
        <v>154</v>
      </c>
      <c r="DA29" s="2" t="s">
        <v>172</v>
      </c>
      <c r="DB29" s="2" t="s">
        <v>155</v>
      </c>
      <c r="DC29" s="2" t="s">
        <v>256</v>
      </c>
      <c r="DD29" s="2" t="s">
        <v>257</v>
      </c>
      <c r="DE29" s="2" t="s">
        <v>158</v>
      </c>
      <c r="DF29" s="2" t="s">
        <v>159</v>
      </c>
      <c r="DG29" s="2" t="s">
        <v>160</v>
      </c>
      <c r="DH29" s="2">
        <v>0</v>
      </c>
      <c r="DI29" s="2">
        <v>0</v>
      </c>
      <c r="DJ29" s="2">
        <v>0</v>
      </c>
      <c r="DK29" s="2">
        <v>0.9</v>
      </c>
      <c r="DL29" s="2">
        <v>0</v>
      </c>
      <c r="DM29" s="2">
        <v>0</v>
      </c>
      <c r="DN29" s="2">
        <f t="shared" si="21"/>
        <v>0.9</v>
      </c>
      <c r="DO29" s="29"/>
      <c r="DP29" s="30"/>
      <c r="DQ29" s="30"/>
      <c r="DR29" s="30"/>
      <c r="DS29" s="30"/>
      <c r="DT29" s="30"/>
      <c r="DU29" s="30"/>
      <c r="DV29" s="30"/>
    </row>
    <row r="30" spans="1:126" s="31" customFormat="1" ht="15.75" x14ac:dyDescent="0.25">
      <c r="A30" s="2" t="s">
        <v>273</v>
      </c>
      <c r="B30" s="25">
        <v>26</v>
      </c>
      <c r="C30" s="35">
        <v>43516</v>
      </c>
      <c r="D30" s="35">
        <v>43516</v>
      </c>
      <c r="E3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0" s="2">
        <v>20</v>
      </c>
      <c r="G30" s="2">
        <v>1</v>
      </c>
      <c r="H30" s="47">
        <f>WEEKNUM(tbSabana2016[[#This Row],[Fecha de Inicio]],15)</f>
        <v>8</v>
      </c>
      <c r="I30" s="36" t="str">
        <f>TEXT(tbSabana2016[[#This Row],[Fecha de Inicio]],"dddd")</f>
        <v>miércoles</v>
      </c>
      <c r="J30" s="36" t="str">
        <f>TEXT(tbSabana2016[[#This Row],[Fecha de Inicio]],"mmmm")</f>
        <v>febrero</v>
      </c>
      <c r="K30" s="37" t="s">
        <v>143</v>
      </c>
      <c r="L30" s="23">
        <v>9</v>
      </c>
      <c r="M30" s="38" t="s">
        <v>144</v>
      </c>
      <c r="N30" s="38" t="s">
        <v>144</v>
      </c>
      <c r="O30" s="38" t="s">
        <v>274</v>
      </c>
      <c r="P30" s="38"/>
      <c r="Q30" s="47">
        <v>19</v>
      </c>
      <c r="R30" s="102">
        <v>1</v>
      </c>
      <c r="S30" s="105">
        <v>52.4</v>
      </c>
      <c r="T30" s="102">
        <v>99</v>
      </c>
      <c r="U30" s="102">
        <v>16</v>
      </c>
      <c r="V30" s="105">
        <v>56.4</v>
      </c>
      <c r="W3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01' 52.40'' W 99° 16' 56.40''</v>
      </c>
      <c r="X30" s="44">
        <v>2864</v>
      </c>
      <c r="Y30" s="19">
        <v>0</v>
      </c>
      <c r="Z30" s="19">
        <v>0</v>
      </c>
      <c r="AA30" s="19">
        <v>0</v>
      </c>
      <c r="AB30" s="19">
        <v>0.8</v>
      </c>
      <c r="AC30" s="19">
        <v>0</v>
      </c>
      <c r="AD30" s="19">
        <v>0</v>
      </c>
      <c r="AE30" s="19">
        <f>SUM(tbSabana2016[[#This Row],[Arbolado Adulto (HA)]:[Suelo Orgánico (HA)]])</f>
        <v>0.8</v>
      </c>
      <c r="AF30" s="9">
        <f t="shared" si="17"/>
        <v>192.35000000000005</v>
      </c>
      <c r="AG30" s="9">
        <f>tbSabana2016[[#This Row],[Acumulado (HA)]]/tbSabana2016[[#This Row],[Incendio en el AÑO]]</f>
        <v>7.3980769230769248</v>
      </c>
      <c r="AH30" s="2" t="s">
        <v>147</v>
      </c>
      <c r="AI30" s="2" t="s">
        <v>165</v>
      </c>
      <c r="AJ30" s="2" t="s">
        <v>276</v>
      </c>
      <c r="AK30" s="2" t="s">
        <v>277</v>
      </c>
      <c r="AL30" s="2" t="s">
        <v>150</v>
      </c>
      <c r="AM30" s="2" t="s">
        <v>151</v>
      </c>
      <c r="AN30" s="32">
        <v>43516.59375</v>
      </c>
      <c r="AO30" s="32">
        <v>43516.597222222219</v>
      </c>
      <c r="AP30" s="32">
        <v>43516.600694444445</v>
      </c>
      <c r="AQ30" s="32">
        <v>43516.642361111109</v>
      </c>
      <c r="AR30" s="32">
        <v>43516.645833333336</v>
      </c>
      <c r="AS30" s="32"/>
      <c r="AT30" s="32">
        <v>43516.708333333336</v>
      </c>
      <c r="AU30" s="32">
        <v>43516.777777777781</v>
      </c>
      <c r="AV30" s="32">
        <v>43516.875</v>
      </c>
      <c r="AW30" s="40">
        <v>0.18402777777777779</v>
      </c>
      <c r="AX30" s="39">
        <v>3.472222222222222E-3</v>
      </c>
      <c r="AY30" s="39">
        <v>4.5138888888888888E-2</v>
      </c>
      <c r="AZ30" s="40">
        <f>SUM(tbSabana2016[[#This Row],[Duración]])</f>
        <v>0.18402777777777779</v>
      </c>
      <c r="BA30" s="2">
        <v>0.25</v>
      </c>
      <c r="BB30" s="2">
        <v>0.35</v>
      </c>
      <c r="BC30" s="2">
        <v>0</v>
      </c>
      <c r="BD30" s="2">
        <v>0</v>
      </c>
      <c r="BE30" s="2">
        <v>0.08</v>
      </c>
      <c r="BF30" s="2">
        <v>0</v>
      </c>
      <c r="BG30" s="2">
        <v>0.06</v>
      </c>
      <c r="BH30" s="2">
        <v>0.6</v>
      </c>
      <c r="BI30" s="2">
        <v>0</v>
      </c>
      <c r="BJ30" s="2" t="s">
        <v>176</v>
      </c>
      <c r="BK30" s="2">
        <v>1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/>
      <c r="BT30" s="2">
        <v>6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3">
        <f t="shared" si="18"/>
        <v>6</v>
      </c>
      <c r="CO30" s="10">
        <f t="shared" si="6"/>
        <v>332</v>
      </c>
      <c r="CP30" s="10">
        <f t="shared" si="19"/>
        <v>6</v>
      </c>
      <c r="CQ30" s="24">
        <f>SUM(tbSabana2016[[#This Row],[Voluntarios]])</f>
        <v>0</v>
      </c>
      <c r="CR30" s="8">
        <f>tbSabana2016[[#This Row],[CONAFOR (Oficiales)]]*383</f>
        <v>2298</v>
      </c>
      <c r="CS30" s="8">
        <f>(tbSabana2016[[#This Row],[Total (Oficiales)]]-tbSabana2016[[#This Row],[CONAFOR (Oficiales)]])*217</f>
        <v>0</v>
      </c>
      <c r="CT30" s="8">
        <f>SUM(tbSabana2016[[#This Row],[Costo CONAFOR]:[Costo Otros]])</f>
        <v>2298</v>
      </c>
      <c r="CU30" s="8">
        <v>190</v>
      </c>
      <c r="CV30" s="8">
        <f t="shared" si="20"/>
        <v>2488</v>
      </c>
      <c r="CW30" s="2" t="s">
        <v>154</v>
      </c>
      <c r="CX30" s="2" t="s">
        <v>154</v>
      </c>
      <c r="CY30" s="69" t="s">
        <v>154</v>
      </c>
      <c r="CZ30" s="2" t="s">
        <v>154</v>
      </c>
      <c r="DA30" s="2" t="s">
        <v>172</v>
      </c>
      <c r="DB30" s="2" t="s">
        <v>155</v>
      </c>
      <c r="DC30" s="2" t="s">
        <v>278</v>
      </c>
      <c r="DD30" s="2" t="s">
        <v>279</v>
      </c>
      <c r="DE30" s="2" t="s">
        <v>158</v>
      </c>
      <c r="DF30" s="2" t="s">
        <v>159</v>
      </c>
      <c r="DG30" s="2" t="s">
        <v>160</v>
      </c>
      <c r="DH30" s="2">
        <v>0</v>
      </c>
      <c r="DI30" s="2">
        <v>0</v>
      </c>
      <c r="DJ30" s="2">
        <v>0</v>
      </c>
      <c r="DK30" s="2">
        <v>0.8</v>
      </c>
      <c r="DL30" s="2">
        <v>0</v>
      </c>
      <c r="DM30" s="2">
        <v>0</v>
      </c>
      <c r="DN30" s="2">
        <f t="shared" si="21"/>
        <v>0.8</v>
      </c>
      <c r="DO30" s="29"/>
      <c r="DP30" s="30"/>
      <c r="DQ30" s="30"/>
      <c r="DR30" s="30"/>
      <c r="DS30" s="30"/>
      <c r="DT30" s="30"/>
      <c r="DU30" s="30"/>
      <c r="DV30" s="30"/>
    </row>
    <row r="31" spans="1:126" s="31" customFormat="1" ht="15.75" x14ac:dyDescent="0.25">
      <c r="A31" s="2" t="s">
        <v>280</v>
      </c>
      <c r="B31" s="25">
        <v>27</v>
      </c>
      <c r="C31" s="35">
        <v>43517</v>
      </c>
      <c r="D31" s="35">
        <v>43517</v>
      </c>
      <c r="E3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1" s="2">
        <v>21</v>
      </c>
      <c r="G31" s="2">
        <v>1</v>
      </c>
      <c r="H31" s="47">
        <f>WEEKNUM(tbSabana2016[[#This Row],[Fecha de Inicio]],15)</f>
        <v>8</v>
      </c>
      <c r="I31" s="36" t="str">
        <f>TEXT(tbSabana2016[[#This Row],[Fecha de Inicio]],"dddd")</f>
        <v>jueves</v>
      </c>
      <c r="J31" s="36" t="str">
        <f>TEXT(tbSabana2016[[#This Row],[Fecha de Inicio]],"mmmm")</f>
        <v>febrero</v>
      </c>
      <c r="K31" s="37" t="s">
        <v>143</v>
      </c>
      <c r="L31" s="23">
        <v>20</v>
      </c>
      <c r="M31" s="38" t="s">
        <v>162</v>
      </c>
      <c r="N31" s="38" t="s">
        <v>281</v>
      </c>
      <c r="O31" s="38" t="s">
        <v>282</v>
      </c>
      <c r="P31" s="38"/>
      <c r="Q31" s="47">
        <v>18</v>
      </c>
      <c r="R31" s="102">
        <v>57</v>
      </c>
      <c r="S31" s="105">
        <v>25.83</v>
      </c>
      <c r="T31" s="102">
        <v>99</v>
      </c>
      <c r="U31" s="102">
        <v>3</v>
      </c>
      <c r="V31" s="105">
        <v>7.65</v>
      </c>
      <c r="W3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25.83'' W 99° 03' 07.65''</v>
      </c>
      <c r="X31" s="44">
        <v>1589</v>
      </c>
      <c r="Y31" s="19">
        <v>0</v>
      </c>
      <c r="Z31" s="19">
        <v>0</v>
      </c>
      <c r="AA31" s="19">
        <v>6.44</v>
      </c>
      <c r="AB31" s="19">
        <v>10</v>
      </c>
      <c r="AC31" s="19">
        <v>0</v>
      </c>
      <c r="AD31" s="19">
        <v>0</v>
      </c>
      <c r="AE31" s="19">
        <f>SUM(tbSabana2016[[#This Row],[Arbolado Adulto (HA)]:[Suelo Orgánico (HA)]])</f>
        <v>16.440000000000001</v>
      </c>
      <c r="AF31" s="9">
        <f>SUM(AF30,AE31)</f>
        <v>208.79000000000005</v>
      </c>
      <c r="AG31" s="9">
        <f>tbSabana2016[[#This Row],[Acumulado (HA)]]/tbSabana2016[[#This Row],[Incendio en el AÑO]]</f>
        <v>7.732962962962965</v>
      </c>
      <c r="AH31" s="2" t="s">
        <v>147</v>
      </c>
      <c r="AI31" s="2" t="s">
        <v>283</v>
      </c>
      <c r="AJ31" s="2" t="s">
        <v>134</v>
      </c>
      <c r="AK31" s="2" t="s">
        <v>183</v>
      </c>
      <c r="AL31" s="2" t="s">
        <v>150</v>
      </c>
      <c r="AM31" s="2" t="s">
        <v>151</v>
      </c>
      <c r="AN31" s="32" t="s">
        <v>284</v>
      </c>
      <c r="AO31" s="32" t="s">
        <v>285</v>
      </c>
      <c r="AP31" s="32" t="s">
        <v>286</v>
      </c>
      <c r="AQ31" s="32" t="s">
        <v>287</v>
      </c>
      <c r="AR31" s="32" t="s">
        <v>288</v>
      </c>
      <c r="AS31" s="32"/>
      <c r="AT31" s="32" t="s">
        <v>289</v>
      </c>
      <c r="AU31" s="32" t="s">
        <v>290</v>
      </c>
      <c r="AV31" s="32" t="s">
        <v>291</v>
      </c>
      <c r="AW31" s="40">
        <v>0.24305555555555555</v>
      </c>
      <c r="AX31" s="39">
        <v>3.472222222222222E-3</v>
      </c>
      <c r="AY31" s="39">
        <v>4.8611111111111112E-2</v>
      </c>
      <c r="AZ31" s="40">
        <f>SUM(tbSabana2016[[#This Row],[Duración]])</f>
        <v>0.24305555555555555</v>
      </c>
      <c r="BA31" s="2">
        <v>1</v>
      </c>
      <c r="BB31" s="2">
        <v>0.8</v>
      </c>
      <c r="BC31" s="2">
        <v>0</v>
      </c>
      <c r="BD31" s="2">
        <v>0.8</v>
      </c>
      <c r="BE31" s="2">
        <v>1.5</v>
      </c>
      <c r="BF31" s="2">
        <v>0</v>
      </c>
      <c r="BG31" s="2">
        <v>0</v>
      </c>
      <c r="BH31" s="2">
        <v>1.5</v>
      </c>
      <c r="BI31" s="2">
        <v>0</v>
      </c>
      <c r="BJ31" s="2" t="s">
        <v>181</v>
      </c>
      <c r="BK31" s="2">
        <v>0</v>
      </c>
      <c r="BL31" s="2">
        <v>1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 t="s">
        <v>252</v>
      </c>
      <c r="BT31" s="2">
        <v>7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4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3">
        <f>SUM(BT31:CM31)</f>
        <v>11</v>
      </c>
      <c r="CO31" s="10">
        <f t="shared" si="6"/>
        <v>343</v>
      </c>
      <c r="CP31" s="10">
        <f>SUM(BT31:CG31,CI31:CM31)</f>
        <v>11</v>
      </c>
      <c r="CQ31" s="24">
        <f>SUM(tbSabana2016[[#This Row],[Voluntarios]])</f>
        <v>0</v>
      </c>
      <c r="CR31" s="8">
        <f>tbSabana2016[[#This Row],[CONAFOR (Oficiales)]]*383</f>
        <v>2681</v>
      </c>
      <c r="CS31" s="8">
        <f>(tbSabana2016[[#This Row],[Total (Oficiales)]]-tbSabana2016[[#This Row],[CONAFOR (Oficiales)]])*217</f>
        <v>868</v>
      </c>
      <c r="CT31" s="8">
        <f>SUM(tbSabana2016[[#This Row],[Costo CONAFOR]:[Costo Otros]])</f>
        <v>3549</v>
      </c>
      <c r="CU31" s="8">
        <v>441</v>
      </c>
      <c r="CV31" s="8">
        <f>SUM(CT31:CU31)</f>
        <v>3990</v>
      </c>
      <c r="CW31" s="2" t="s">
        <v>154</v>
      </c>
      <c r="CX31" s="2" t="s">
        <v>154</v>
      </c>
      <c r="CY31" s="69" t="s">
        <v>154</v>
      </c>
      <c r="CZ31" s="2" t="s">
        <v>154</v>
      </c>
      <c r="DA31" s="2" t="s">
        <v>172</v>
      </c>
      <c r="DB31" s="2" t="s">
        <v>155</v>
      </c>
      <c r="DC31" s="2" t="s">
        <v>168</v>
      </c>
      <c r="DD31" s="2" t="s">
        <v>169</v>
      </c>
      <c r="DE31" s="2" t="s">
        <v>158</v>
      </c>
      <c r="DF31" s="2" t="s">
        <v>159</v>
      </c>
      <c r="DG31" s="2" t="s">
        <v>160</v>
      </c>
      <c r="DH31" s="2">
        <v>0</v>
      </c>
      <c r="DI31" s="2">
        <v>0</v>
      </c>
      <c r="DJ31" s="2">
        <v>0</v>
      </c>
      <c r="DK31" s="2">
        <v>0.63</v>
      </c>
      <c r="DL31" s="2">
        <v>0</v>
      </c>
      <c r="DM31" s="2">
        <v>0</v>
      </c>
      <c r="DN31" s="2">
        <f>SUM(DH31:DM31)</f>
        <v>0.63</v>
      </c>
      <c r="DO31" s="29"/>
      <c r="DP31" s="30"/>
      <c r="DQ31" s="30"/>
      <c r="DR31" s="30"/>
      <c r="DS31" s="30"/>
      <c r="DT31" s="30"/>
      <c r="DU31" s="30"/>
      <c r="DV31" s="30"/>
    </row>
    <row r="32" spans="1:126" s="31" customFormat="1" ht="15.75" x14ac:dyDescent="0.25">
      <c r="A32" s="2" t="s">
        <v>292</v>
      </c>
      <c r="B32" s="25">
        <v>28</v>
      </c>
      <c r="C32" s="35">
        <v>43517</v>
      </c>
      <c r="D32" s="35">
        <v>43517</v>
      </c>
      <c r="E3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2" s="2">
        <v>22</v>
      </c>
      <c r="G32" s="2">
        <v>1</v>
      </c>
      <c r="H32" s="47">
        <f>WEEKNUM(tbSabana2016[[#This Row],[Fecha de Inicio]],15)</f>
        <v>8</v>
      </c>
      <c r="I32" s="36" t="str">
        <f>TEXT(tbSabana2016[[#This Row],[Fecha de Inicio]],"dddd")</f>
        <v>jueves</v>
      </c>
      <c r="J32" s="36" t="str">
        <f>TEXT(tbSabana2016[[#This Row],[Fecha de Inicio]],"mmmm")</f>
        <v>febrero</v>
      </c>
      <c r="K32" s="37" t="s">
        <v>143</v>
      </c>
      <c r="L32" s="23">
        <v>20</v>
      </c>
      <c r="M32" s="38" t="s">
        <v>162</v>
      </c>
      <c r="N32" s="38" t="s">
        <v>163</v>
      </c>
      <c r="O32" s="38" t="s">
        <v>293</v>
      </c>
      <c r="P32" s="38"/>
      <c r="Q32" s="47">
        <v>18</v>
      </c>
      <c r="R32" s="102">
        <v>57</v>
      </c>
      <c r="S32" s="105">
        <v>8.8000000000000007</v>
      </c>
      <c r="T32" s="102">
        <v>99</v>
      </c>
      <c r="U32" s="102">
        <v>10</v>
      </c>
      <c r="V32" s="105">
        <v>31.1</v>
      </c>
      <c r="W3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08.80'' W 99° 10' 31.10''</v>
      </c>
      <c r="X32" s="44">
        <v>1601</v>
      </c>
      <c r="Y32" s="19">
        <v>0</v>
      </c>
      <c r="Z32" s="19">
        <v>0</v>
      </c>
      <c r="AA32" s="19">
        <v>0.9</v>
      </c>
      <c r="AB32" s="19">
        <v>0</v>
      </c>
      <c r="AC32" s="19">
        <v>0</v>
      </c>
      <c r="AD32" s="19">
        <v>0</v>
      </c>
      <c r="AE32" s="19">
        <f>SUM(tbSabana2016[[#This Row],[Arbolado Adulto (HA)]:[Suelo Orgánico (HA)]])</f>
        <v>0.9</v>
      </c>
      <c r="AF32" s="9">
        <f>SUM(AF31,AE32)</f>
        <v>209.69000000000005</v>
      </c>
      <c r="AG32" s="9">
        <f>tbSabana2016[[#This Row],[Acumulado (HA)]]/tbSabana2016[[#This Row],[Incendio en el AÑO]]</f>
        <v>7.4889285714285734</v>
      </c>
      <c r="AH32" s="2" t="s">
        <v>147</v>
      </c>
      <c r="AI32" s="2" t="s">
        <v>165</v>
      </c>
      <c r="AJ32" s="2" t="s">
        <v>135</v>
      </c>
      <c r="AK32" s="2" t="s">
        <v>175</v>
      </c>
      <c r="AL32" s="2" t="s">
        <v>150</v>
      </c>
      <c r="AM32" s="2" t="s">
        <v>151</v>
      </c>
      <c r="AN32" s="32" t="s">
        <v>294</v>
      </c>
      <c r="AO32" s="32" t="s">
        <v>295</v>
      </c>
      <c r="AP32" s="32" t="s">
        <v>296</v>
      </c>
      <c r="AQ32" s="32" t="s">
        <v>297</v>
      </c>
      <c r="AR32" s="32" t="s">
        <v>298</v>
      </c>
      <c r="AS32" s="32"/>
      <c r="AT32" s="32" t="s">
        <v>299</v>
      </c>
      <c r="AU32" s="32" t="s">
        <v>300</v>
      </c>
      <c r="AV32" s="32"/>
      <c r="AW32" s="40">
        <v>0.1111111111111111</v>
      </c>
      <c r="AX32" s="39">
        <v>1.3888888888888889E-3</v>
      </c>
      <c r="AY32" s="39">
        <v>1.9444444444444445E-2</v>
      </c>
      <c r="AZ32" s="40">
        <f>SUM(tbSabana2016[[#This Row],[Duración]])</f>
        <v>0.1111111111111111</v>
      </c>
      <c r="BA32" s="2">
        <v>0.1</v>
      </c>
      <c r="BB32" s="2">
        <v>0.5</v>
      </c>
      <c r="BC32" s="2">
        <v>0</v>
      </c>
      <c r="BD32" s="2">
        <v>0</v>
      </c>
      <c r="BE32" s="2">
        <v>0.1</v>
      </c>
      <c r="BF32" s="2">
        <v>0</v>
      </c>
      <c r="BG32" s="2">
        <v>0.1</v>
      </c>
      <c r="BH32" s="2">
        <v>0.5</v>
      </c>
      <c r="BI32" s="2">
        <v>0</v>
      </c>
      <c r="BJ32" s="2" t="s">
        <v>301</v>
      </c>
      <c r="BK32" s="2">
        <v>0</v>
      </c>
      <c r="BL32" s="2">
        <v>0</v>
      </c>
      <c r="BM32" s="2">
        <v>0</v>
      </c>
      <c r="BN32" s="2">
        <v>1</v>
      </c>
      <c r="BO32" s="2">
        <v>0</v>
      </c>
      <c r="BP32" s="2">
        <v>0</v>
      </c>
      <c r="BQ32" s="2">
        <v>0</v>
      </c>
      <c r="BR32" s="2">
        <v>0</v>
      </c>
      <c r="BS32" s="2"/>
      <c r="BT32" s="2">
        <v>8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3">
        <f>SUM(BT32:CM32)</f>
        <v>8</v>
      </c>
      <c r="CO32" s="10">
        <f t="shared" si="6"/>
        <v>351</v>
      </c>
      <c r="CP32" s="10">
        <f>SUM(BT32:CG32,CI32:CM32)</f>
        <v>8</v>
      </c>
      <c r="CQ32" s="24">
        <f>SUM(tbSabana2016[[#This Row],[Voluntarios]])</f>
        <v>0</v>
      </c>
      <c r="CR32" s="8">
        <f>tbSabana2016[[#This Row],[CONAFOR (Oficiales)]]*383</f>
        <v>3064</v>
      </c>
      <c r="CS32" s="8">
        <f>(tbSabana2016[[#This Row],[Total (Oficiales)]]-tbSabana2016[[#This Row],[CONAFOR (Oficiales)]])*217</f>
        <v>0</v>
      </c>
      <c r="CT32" s="8">
        <f>SUM(tbSabana2016[[#This Row],[Costo CONAFOR]:[Costo Otros]])</f>
        <v>3064</v>
      </c>
      <c r="CU32" s="8">
        <v>160.72</v>
      </c>
      <c r="CV32" s="8">
        <f>SUM(CT32:CU32)</f>
        <v>3224.72</v>
      </c>
      <c r="CW32" s="2" t="s">
        <v>154</v>
      </c>
      <c r="CX32" s="2" t="s">
        <v>154</v>
      </c>
      <c r="CY32" s="69" t="s">
        <v>154</v>
      </c>
      <c r="CZ32" s="2" t="s">
        <v>154</v>
      </c>
      <c r="DA32" s="2" t="s">
        <v>172</v>
      </c>
      <c r="DB32" s="2" t="s">
        <v>155</v>
      </c>
      <c r="DC32" s="2" t="s">
        <v>168</v>
      </c>
      <c r="DD32" s="2" t="s">
        <v>169</v>
      </c>
      <c r="DE32" s="2" t="s">
        <v>170</v>
      </c>
      <c r="DF32" s="2" t="s">
        <v>159</v>
      </c>
      <c r="DG32" s="2" t="s">
        <v>171</v>
      </c>
      <c r="DH32" s="2">
        <v>0</v>
      </c>
      <c r="DI32" s="2">
        <v>0</v>
      </c>
      <c r="DJ32" s="2">
        <v>0.9</v>
      </c>
      <c r="DK32" s="2">
        <v>0</v>
      </c>
      <c r="DL32" s="2">
        <v>0</v>
      </c>
      <c r="DM32" s="2">
        <v>0</v>
      </c>
      <c r="DN32" s="2">
        <f>SUM(DH32:DM32)</f>
        <v>0.9</v>
      </c>
      <c r="DO32" s="29"/>
      <c r="DP32" s="30"/>
      <c r="DQ32" s="30"/>
      <c r="DR32" s="30"/>
      <c r="DS32" s="30"/>
      <c r="DT32" s="30"/>
      <c r="DU32" s="30"/>
      <c r="DV32" s="30"/>
    </row>
    <row r="33" spans="1:126" s="31" customFormat="1" ht="15.75" x14ac:dyDescent="0.25">
      <c r="A33" s="2" t="s">
        <v>302</v>
      </c>
      <c r="B33" s="25">
        <v>29</v>
      </c>
      <c r="C33" s="35">
        <v>43517</v>
      </c>
      <c r="D33" s="35">
        <v>43518</v>
      </c>
      <c r="E33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33" s="2">
        <v>23</v>
      </c>
      <c r="G33" s="2">
        <v>1</v>
      </c>
      <c r="H33" s="47">
        <f>WEEKNUM(tbSabana2016[[#This Row],[Fecha de Inicio]],15)</f>
        <v>8</v>
      </c>
      <c r="I33" s="36" t="str">
        <f>TEXT(tbSabana2016[[#This Row],[Fecha de Inicio]],"dddd")</f>
        <v>jueves</v>
      </c>
      <c r="J33" s="36" t="str">
        <f>TEXT(tbSabana2016[[#This Row],[Fecha de Inicio]],"mmmm")</f>
        <v>febrero</v>
      </c>
      <c r="K33" s="37" t="s">
        <v>143</v>
      </c>
      <c r="L33" s="23">
        <v>9</v>
      </c>
      <c r="M33" s="38" t="s">
        <v>144</v>
      </c>
      <c r="N33" s="38" t="s">
        <v>144</v>
      </c>
      <c r="O33" s="38" t="s">
        <v>303</v>
      </c>
      <c r="P33" s="38" t="s">
        <v>249</v>
      </c>
      <c r="Q33" s="47">
        <v>19</v>
      </c>
      <c r="R33" s="102">
        <v>4</v>
      </c>
      <c r="S33" s="105">
        <v>19.29</v>
      </c>
      <c r="T33" s="102">
        <v>99</v>
      </c>
      <c r="U33" s="102">
        <v>16</v>
      </c>
      <c r="V33" s="105">
        <v>10.06</v>
      </c>
      <c r="W3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19.29'' W 99° 16' 10.06''</v>
      </c>
      <c r="X33" s="44">
        <v>2865</v>
      </c>
      <c r="Y33" s="19">
        <v>0</v>
      </c>
      <c r="Z33" s="19">
        <v>0</v>
      </c>
      <c r="AA33" s="19">
        <v>5.76</v>
      </c>
      <c r="AB33" s="19">
        <v>14</v>
      </c>
      <c r="AC33" s="19">
        <v>0</v>
      </c>
      <c r="AD33" s="19">
        <v>0</v>
      </c>
      <c r="AE33" s="19">
        <f>SUM(tbSabana2016[[#This Row],[Arbolado Adulto (HA)]:[Suelo Orgánico (HA)]])</f>
        <v>19.759999999999998</v>
      </c>
      <c r="AF33" s="9">
        <f>SUM(AF32,AE33)</f>
        <v>229.45000000000005</v>
      </c>
      <c r="AG33" s="9">
        <f>tbSabana2016[[#This Row],[Acumulado (HA)]]/tbSabana2016[[#This Row],[Incendio en el AÑO]]</f>
        <v>7.9120689655172427</v>
      </c>
      <c r="AH33" s="2" t="s">
        <v>147</v>
      </c>
      <c r="AI33" s="2" t="s">
        <v>283</v>
      </c>
      <c r="AJ33" s="2" t="s">
        <v>133</v>
      </c>
      <c r="AK33" s="2" t="s">
        <v>149</v>
      </c>
      <c r="AL33" s="2" t="s">
        <v>150</v>
      </c>
      <c r="AM33" s="2" t="s">
        <v>151</v>
      </c>
      <c r="AN33" s="32" t="s">
        <v>304</v>
      </c>
      <c r="AO33" s="32" t="s">
        <v>305</v>
      </c>
      <c r="AP33" s="32" t="s">
        <v>300</v>
      </c>
      <c r="AQ33" s="32" t="s">
        <v>290</v>
      </c>
      <c r="AR33" s="32" t="s">
        <v>306</v>
      </c>
      <c r="AS33" s="32" t="s">
        <v>307</v>
      </c>
      <c r="AT33" s="32" t="s">
        <v>308</v>
      </c>
      <c r="AU33" s="32" t="s">
        <v>309</v>
      </c>
      <c r="AV33" s="32" t="s">
        <v>310</v>
      </c>
      <c r="AW33" s="40">
        <v>0.89583333333333337</v>
      </c>
      <c r="AX33" s="39">
        <v>3.472222222222222E-3</v>
      </c>
      <c r="AY33" s="39">
        <v>5.9027777777777783E-2</v>
      </c>
      <c r="AZ33" s="40">
        <f>SUM(tbSabana2016[[#This Row],[Duración]])</f>
        <v>0.89583333333333337</v>
      </c>
      <c r="BA33" s="2">
        <v>0</v>
      </c>
      <c r="BB33" s="2">
        <v>1</v>
      </c>
      <c r="BC33" s="2">
        <v>0</v>
      </c>
      <c r="BD33" s="2">
        <v>0</v>
      </c>
      <c r="BE33" s="2">
        <v>1.5</v>
      </c>
      <c r="BF33" s="2">
        <v>0</v>
      </c>
      <c r="BG33" s="2">
        <v>0</v>
      </c>
      <c r="BH33" s="2">
        <v>2.5</v>
      </c>
      <c r="BI33" s="2">
        <v>0</v>
      </c>
      <c r="BJ33" s="2" t="s">
        <v>181</v>
      </c>
      <c r="BK33" s="2">
        <v>0</v>
      </c>
      <c r="BL33" s="2">
        <v>1</v>
      </c>
      <c r="BM33" s="2">
        <v>0</v>
      </c>
      <c r="BN33" s="2">
        <v>1</v>
      </c>
      <c r="BO33" s="2">
        <v>0</v>
      </c>
      <c r="BP33" s="2">
        <v>0</v>
      </c>
      <c r="BQ33" s="2">
        <v>0</v>
      </c>
      <c r="BR33" s="2">
        <v>0</v>
      </c>
      <c r="BS33" s="2" t="s">
        <v>153</v>
      </c>
      <c r="BT33" s="2">
        <v>16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5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3">
        <f>SUM(BT33:CM33)</f>
        <v>21</v>
      </c>
      <c r="CO33" s="10">
        <f t="shared" si="6"/>
        <v>372</v>
      </c>
      <c r="CP33" s="10">
        <f>SUM(BT33:CG33,CI33:CM33)</f>
        <v>21</v>
      </c>
      <c r="CQ33" s="24">
        <f>SUM(tbSabana2016[[#This Row],[Voluntarios]])</f>
        <v>0</v>
      </c>
      <c r="CR33" s="8">
        <f>tbSabana2016[[#This Row],[CONAFOR (Oficiales)]]*383</f>
        <v>6128</v>
      </c>
      <c r="CS33" s="8">
        <f>(tbSabana2016[[#This Row],[Total (Oficiales)]]-tbSabana2016[[#This Row],[CONAFOR (Oficiales)]])*217</f>
        <v>1085</v>
      </c>
      <c r="CT33" s="8">
        <f>SUM(tbSabana2016[[#This Row],[Costo CONAFOR]:[Costo Otros]])</f>
        <v>7213</v>
      </c>
      <c r="CU33" s="8">
        <v>380.24</v>
      </c>
      <c r="CV33" s="8">
        <f>SUM(CT33:CU33)</f>
        <v>7593.24</v>
      </c>
      <c r="CW33" s="2" t="s">
        <v>154</v>
      </c>
      <c r="CX33" s="2" t="s">
        <v>154</v>
      </c>
      <c r="CY33" s="69" t="s">
        <v>154</v>
      </c>
      <c r="CZ33" s="2" t="s">
        <v>154</v>
      </c>
      <c r="DA33" s="2" t="s">
        <v>172</v>
      </c>
      <c r="DB33" s="2" t="s">
        <v>155</v>
      </c>
      <c r="DC33" s="2" t="s">
        <v>468</v>
      </c>
      <c r="DD33" s="2" t="s">
        <v>311</v>
      </c>
      <c r="DE33" s="2" t="s">
        <v>158</v>
      </c>
      <c r="DF33" s="2" t="s">
        <v>159</v>
      </c>
      <c r="DG33" s="2" t="s">
        <v>160</v>
      </c>
      <c r="DH33" s="2">
        <v>0</v>
      </c>
      <c r="DI33" s="2">
        <v>0</v>
      </c>
      <c r="DJ33" s="2">
        <v>5.76</v>
      </c>
      <c r="DK33" s="2">
        <v>14</v>
      </c>
      <c r="DL33" s="2">
        <v>0</v>
      </c>
      <c r="DM33" s="2">
        <v>0</v>
      </c>
      <c r="DN33" s="2">
        <f>SUM(DH33:DM33)</f>
        <v>19.759999999999998</v>
      </c>
      <c r="DO33" s="29"/>
      <c r="DP33" s="30"/>
      <c r="DQ33" s="30"/>
      <c r="DR33" s="30"/>
      <c r="DS33" s="30"/>
      <c r="DT33" s="30"/>
      <c r="DU33" s="30"/>
      <c r="DV33" s="30"/>
    </row>
    <row r="34" spans="1:126" s="31" customFormat="1" ht="15.75" x14ac:dyDescent="0.25">
      <c r="A34" s="2" t="s">
        <v>322</v>
      </c>
      <c r="B34" s="25">
        <v>30</v>
      </c>
      <c r="C34" s="35">
        <v>43518</v>
      </c>
      <c r="D34" s="35">
        <v>43518</v>
      </c>
      <c r="E3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4" s="2">
        <v>24</v>
      </c>
      <c r="G34" s="2">
        <v>1</v>
      </c>
      <c r="H34" s="47">
        <f>WEEKNUM(tbSabana2016[[#This Row],[Fecha de Inicio]],15)</f>
        <v>9</v>
      </c>
      <c r="I34" s="36" t="str">
        <f>TEXT(tbSabana2016[[#This Row],[Fecha de Inicio]],"dddd")</f>
        <v>viernes</v>
      </c>
      <c r="J34" s="36" t="str">
        <f>TEXT(tbSabana2016[[#This Row],[Fecha de Inicio]],"mmmm")</f>
        <v>febrero</v>
      </c>
      <c r="K34" s="37" t="s">
        <v>143</v>
      </c>
      <c r="L34" s="23">
        <v>29</v>
      </c>
      <c r="M34" s="38" t="s">
        <v>231</v>
      </c>
      <c r="N34" s="38" t="s">
        <v>231</v>
      </c>
      <c r="O34" s="38" t="s">
        <v>323</v>
      </c>
      <c r="P34" s="38" t="s">
        <v>249</v>
      </c>
      <c r="Q34" s="47">
        <v>18</v>
      </c>
      <c r="R34" s="102">
        <v>51</v>
      </c>
      <c r="S34" s="105">
        <v>32.76</v>
      </c>
      <c r="T34" s="102">
        <v>99</v>
      </c>
      <c r="U34" s="102">
        <v>6</v>
      </c>
      <c r="V34" s="105">
        <v>28.99</v>
      </c>
      <c r="W3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51' 32.76'' W 99° 06' 28.99''</v>
      </c>
      <c r="X34" s="44">
        <v>1225</v>
      </c>
      <c r="Y34" s="19">
        <v>0</v>
      </c>
      <c r="Z34" s="19">
        <v>0</v>
      </c>
      <c r="AA34" s="19">
        <v>3.35</v>
      </c>
      <c r="AB34" s="19">
        <v>0</v>
      </c>
      <c r="AC34" s="19">
        <v>0</v>
      </c>
      <c r="AD34" s="19">
        <v>0</v>
      </c>
      <c r="AE34" s="19">
        <f>SUM(tbSabana2016[[#This Row],[Arbolado Adulto (HA)]:[Suelo Orgánico (HA)]])</f>
        <v>3.35</v>
      </c>
      <c r="AF34" s="9">
        <f>SUM(AF33,AE34)</f>
        <v>232.80000000000004</v>
      </c>
      <c r="AG34" s="9">
        <f>tbSabana2016[[#This Row],[Acumulado (HA)]]/tbSabana2016[[#This Row],[Incendio en el AÑO]]</f>
        <v>7.7600000000000016</v>
      </c>
      <c r="AH34" s="2" t="s">
        <v>147</v>
      </c>
      <c r="AI34" s="2" t="s">
        <v>165</v>
      </c>
      <c r="AJ34" s="2" t="s">
        <v>135</v>
      </c>
      <c r="AK34" s="2" t="s">
        <v>175</v>
      </c>
      <c r="AL34" s="2" t="s">
        <v>150</v>
      </c>
      <c r="AM34" s="2" t="s">
        <v>151</v>
      </c>
      <c r="AN34" s="32" t="s">
        <v>324</v>
      </c>
      <c r="AO34" s="32" t="s">
        <v>330</v>
      </c>
      <c r="AP34" s="32" t="s">
        <v>325</v>
      </c>
      <c r="AQ34" s="32" t="s">
        <v>326</v>
      </c>
      <c r="AR34" s="32" t="s">
        <v>331</v>
      </c>
      <c r="AS34" s="32"/>
      <c r="AT34" s="32" t="s">
        <v>332</v>
      </c>
      <c r="AU34" s="32" t="s">
        <v>327</v>
      </c>
      <c r="AV34" s="32" t="s">
        <v>328</v>
      </c>
      <c r="AW34" s="40">
        <v>0.17361111111111113</v>
      </c>
      <c r="AX34" s="39">
        <v>3.472222222222222E-3</v>
      </c>
      <c r="AY34" s="39">
        <v>3.4722222222222224E-2</v>
      </c>
      <c r="AZ34" s="40">
        <f>SUM(tbSabana2016[[#This Row],[Duración]])</f>
        <v>0.17361111111111113</v>
      </c>
      <c r="BA34" s="2">
        <v>0.1</v>
      </c>
      <c r="BB34" s="2">
        <v>0.15</v>
      </c>
      <c r="BC34" s="2">
        <v>0</v>
      </c>
      <c r="BD34" s="2">
        <v>0</v>
      </c>
      <c r="BE34" s="2">
        <v>0.1</v>
      </c>
      <c r="BF34" s="2">
        <v>0</v>
      </c>
      <c r="BG34" s="2">
        <v>0</v>
      </c>
      <c r="BH34" s="2">
        <v>0.15</v>
      </c>
      <c r="BI34" s="2">
        <v>0</v>
      </c>
      <c r="BJ34" s="2" t="s">
        <v>329</v>
      </c>
      <c r="BK34" s="2">
        <v>0</v>
      </c>
      <c r="BL34" s="2">
        <v>0</v>
      </c>
      <c r="BM34" s="2">
        <v>0</v>
      </c>
      <c r="BN34" s="2">
        <v>1</v>
      </c>
      <c r="BO34" s="2">
        <v>0</v>
      </c>
      <c r="BP34" s="2">
        <v>0</v>
      </c>
      <c r="BQ34" s="2">
        <v>0</v>
      </c>
      <c r="BR34" s="2">
        <v>0</v>
      </c>
      <c r="BS34" s="2"/>
      <c r="BT34" s="2">
        <v>9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3">
        <f>SUM(BT34:CM34)</f>
        <v>9</v>
      </c>
      <c r="CO34" s="10">
        <f t="shared" si="6"/>
        <v>381</v>
      </c>
      <c r="CP34" s="10">
        <f>SUM(BT34:CG34,CI34:CM34)</f>
        <v>9</v>
      </c>
      <c r="CQ34" s="24">
        <f>SUM(tbSabana2016[[#This Row],[Voluntarios]])</f>
        <v>0</v>
      </c>
      <c r="CR34" s="8">
        <f>tbSabana2016[[#This Row],[CONAFOR (Oficiales)]]*383</f>
        <v>3447</v>
      </c>
      <c r="CS34" s="8">
        <f>(tbSabana2016[[#This Row],[Total (Oficiales)]]-tbSabana2016[[#This Row],[CONAFOR (Oficiales)]])*217</f>
        <v>0</v>
      </c>
      <c r="CT34" s="8">
        <f>SUM(tbSabana2016[[#This Row],[Costo CONAFOR]:[Costo Otros]])</f>
        <v>3447</v>
      </c>
      <c r="CU34" s="8">
        <v>299.2</v>
      </c>
      <c r="CV34" s="8">
        <f>SUM(CT34:CU34)</f>
        <v>3746.2</v>
      </c>
      <c r="CW34" s="2" t="s">
        <v>154</v>
      </c>
      <c r="CX34" s="2" t="s">
        <v>154</v>
      </c>
      <c r="CY34" s="69" t="s">
        <v>154</v>
      </c>
      <c r="CZ34" s="2" t="s">
        <v>154</v>
      </c>
      <c r="DA34" s="2" t="s">
        <v>172</v>
      </c>
      <c r="DB34" s="2" t="s">
        <v>155</v>
      </c>
      <c r="DC34" s="2" t="s">
        <v>168</v>
      </c>
      <c r="DD34" s="2" t="s">
        <v>169</v>
      </c>
      <c r="DE34" s="2" t="s">
        <v>267</v>
      </c>
      <c r="DF34" s="2" t="s">
        <v>159</v>
      </c>
      <c r="DG34" s="2" t="s">
        <v>268</v>
      </c>
      <c r="DH34" s="2">
        <v>0</v>
      </c>
      <c r="DI34" s="2">
        <v>0</v>
      </c>
      <c r="DJ34" s="2">
        <v>0.73</v>
      </c>
      <c r="DK34" s="2">
        <v>0</v>
      </c>
      <c r="DL34" s="2">
        <v>0</v>
      </c>
      <c r="DM34" s="2">
        <v>0</v>
      </c>
      <c r="DN34" s="2">
        <f>SUM(DH34:DM34)</f>
        <v>0.73</v>
      </c>
      <c r="DO34" s="29"/>
      <c r="DP34" s="30"/>
      <c r="DQ34" s="30"/>
      <c r="DR34" s="30"/>
      <c r="DS34" s="30"/>
      <c r="DT34" s="30"/>
      <c r="DU34" s="30"/>
      <c r="DV34" s="30"/>
    </row>
    <row r="35" spans="1:126" s="31" customFormat="1" ht="15.75" x14ac:dyDescent="0.25">
      <c r="A35" s="2" t="s">
        <v>321</v>
      </c>
      <c r="B35" s="25">
        <v>31</v>
      </c>
      <c r="C35" s="35">
        <v>43518</v>
      </c>
      <c r="D35" s="35">
        <v>43518</v>
      </c>
      <c r="E3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5" s="2">
        <v>25</v>
      </c>
      <c r="G35" s="2">
        <v>1</v>
      </c>
      <c r="H35" s="47">
        <f>WEEKNUM(tbSabana2016[[#This Row],[Fecha de Inicio]],15)</f>
        <v>9</v>
      </c>
      <c r="I35" s="36" t="str">
        <f>TEXT(tbSabana2016[[#This Row],[Fecha de Inicio]],"dddd")</f>
        <v>viernes</v>
      </c>
      <c r="J35" s="36" t="str">
        <f>TEXT(tbSabana2016[[#This Row],[Fecha de Inicio]],"mmmm")</f>
        <v>febrero</v>
      </c>
      <c r="K35" s="37" t="s">
        <v>143</v>
      </c>
      <c r="L35" s="23">
        <v>20</v>
      </c>
      <c r="M35" s="38" t="s">
        <v>162</v>
      </c>
      <c r="N35" s="38" t="s">
        <v>163</v>
      </c>
      <c r="O35" s="38" t="s">
        <v>312</v>
      </c>
      <c r="P35" s="38"/>
      <c r="Q35" s="47">
        <v>18</v>
      </c>
      <c r="R35" s="102">
        <v>57</v>
      </c>
      <c r="S35" s="105">
        <v>10.3</v>
      </c>
      <c r="T35" s="102">
        <v>99</v>
      </c>
      <c r="U35" s="102">
        <v>10</v>
      </c>
      <c r="V35" s="105">
        <v>27.7</v>
      </c>
      <c r="W3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10.30'' W 99° 10' 27.70''</v>
      </c>
      <c r="X35" s="44">
        <v>1608</v>
      </c>
      <c r="Y35" s="19">
        <v>0</v>
      </c>
      <c r="Z35" s="19">
        <v>0</v>
      </c>
      <c r="AA35" s="19">
        <v>0.5</v>
      </c>
      <c r="AB35" s="19">
        <v>0.4</v>
      </c>
      <c r="AC35" s="19">
        <v>0</v>
      </c>
      <c r="AD35" s="19">
        <v>0</v>
      </c>
      <c r="AE35" s="19">
        <f>SUM(tbSabana2016[[#This Row],[Arbolado Adulto (HA)]:[Suelo Orgánico (HA)]])</f>
        <v>0.9</v>
      </c>
      <c r="AF35" s="9">
        <f>SUM(AF34,AE35)</f>
        <v>233.70000000000005</v>
      </c>
      <c r="AG35" s="9">
        <f>tbSabana2016[[#This Row],[Acumulado (HA)]]/tbSabana2016[[#This Row],[Incendio en el AÑO]]</f>
        <v>7.538709677419356</v>
      </c>
      <c r="AH35" s="2" t="s">
        <v>147</v>
      </c>
      <c r="AI35" s="2" t="s">
        <v>165</v>
      </c>
      <c r="AJ35" s="2" t="s">
        <v>135</v>
      </c>
      <c r="AK35" s="2" t="s">
        <v>175</v>
      </c>
      <c r="AL35" s="2" t="s">
        <v>150</v>
      </c>
      <c r="AM35" s="2" t="s">
        <v>151</v>
      </c>
      <c r="AN35" s="32" t="s">
        <v>313</v>
      </c>
      <c r="AO35" s="32" t="s">
        <v>314</v>
      </c>
      <c r="AP35" s="32" t="s">
        <v>315</v>
      </c>
      <c r="AQ35" s="32" t="s">
        <v>316</v>
      </c>
      <c r="AR35" s="32" t="s">
        <v>317</v>
      </c>
      <c r="AS35" s="32"/>
      <c r="AT35" s="32" t="s">
        <v>318</v>
      </c>
      <c r="AU35" s="32" t="s">
        <v>319</v>
      </c>
      <c r="AV35" s="32" t="s">
        <v>320</v>
      </c>
      <c r="AW35" s="40">
        <v>0.11805555555555557</v>
      </c>
      <c r="AX35" s="39">
        <v>6.9444444444444441E-3</v>
      </c>
      <c r="AY35" s="39">
        <v>3.8194444444444441E-2</v>
      </c>
      <c r="AZ35" s="40">
        <f>SUM(tbSabana2016[[#This Row],[Duración]])</f>
        <v>0.11805555555555557</v>
      </c>
      <c r="BA35" s="2">
        <v>0.2</v>
      </c>
      <c r="BB35" s="2">
        <v>0.1</v>
      </c>
      <c r="BC35" s="2">
        <v>0</v>
      </c>
      <c r="BD35" s="2">
        <v>0</v>
      </c>
      <c r="BE35" s="2">
        <v>0.1</v>
      </c>
      <c r="BF35" s="2">
        <v>0</v>
      </c>
      <c r="BG35" s="2">
        <v>0.1</v>
      </c>
      <c r="BH35" s="2">
        <v>0.2</v>
      </c>
      <c r="BI35" s="2">
        <v>0</v>
      </c>
      <c r="BJ35" s="2" t="s">
        <v>242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 t="s">
        <v>243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12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3">
        <f>SUM(BT35:CM35)</f>
        <v>12</v>
      </c>
      <c r="CO35" s="10">
        <f t="shared" si="6"/>
        <v>393</v>
      </c>
      <c r="CP35" s="10">
        <f>SUM(BT35:CG35,CI35:CM35)</f>
        <v>12</v>
      </c>
      <c r="CQ35" s="24">
        <f>SUM(tbSabana2016[[#This Row],[Voluntarios]])</f>
        <v>0</v>
      </c>
      <c r="CR35" s="8">
        <f>tbSabana2016[[#This Row],[CONAFOR (Oficiales)]]*383</f>
        <v>0</v>
      </c>
      <c r="CS35" s="8">
        <f>(tbSabana2016[[#This Row],[Total (Oficiales)]]-tbSabana2016[[#This Row],[CONAFOR (Oficiales)]])*217</f>
        <v>2604</v>
      </c>
      <c r="CT35" s="8">
        <f>SUM(tbSabana2016[[#This Row],[Costo CONAFOR]:[Costo Otros]])</f>
        <v>2604</v>
      </c>
      <c r="CU35" s="8">
        <v>344.96</v>
      </c>
      <c r="CV35" s="8">
        <f>SUM(CT35:CU35)</f>
        <v>2948.96</v>
      </c>
      <c r="CW35" s="2" t="s">
        <v>154</v>
      </c>
      <c r="CX35" s="2" t="s">
        <v>154</v>
      </c>
      <c r="CY35" s="69" t="s">
        <v>154</v>
      </c>
      <c r="CZ35" s="2" t="s">
        <v>154</v>
      </c>
      <c r="DA35" s="2" t="s">
        <v>172</v>
      </c>
      <c r="DB35" s="2" t="s">
        <v>155</v>
      </c>
      <c r="DC35" s="2" t="s">
        <v>168</v>
      </c>
      <c r="DD35" s="2" t="s">
        <v>169</v>
      </c>
      <c r="DE35" s="2" t="s">
        <v>170</v>
      </c>
      <c r="DF35" s="2" t="s">
        <v>159</v>
      </c>
      <c r="DG35" s="2" t="s">
        <v>171</v>
      </c>
      <c r="DH35" s="2">
        <v>0</v>
      </c>
      <c r="DI35" s="2">
        <v>0</v>
      </c>
      <c r="DJ35" s="2">
        <v>0.5</v>
      </c>
      <c r="DK35" s="2">
        <v>0.4</v>
      </c>
      <c r="DL35" s="2">
        <v>0</v>
      </c>
      <c r="DM35" s="2">
        <v>0</v>
      </c>
      <c r="DN35" s="2">
        <f>SUM(DH35:DM35)</f>
        <v>0.9</v>
      </c>
      <c r="DO35" s="29"/>
      <c r="DP35" s="30"/>
      <c r="DQ35" s="30"/>
      <c r="DR35" s="30"/>
      <c r="DS35" s="30"/>
      <c r="DT35" s="30"/>
      <c r="DU35" s="30"/>
      <c r="DV35" s="30"/>
    </row>
    <row r="36" spans="1:126" s="31" customFormat="1" ht="15.75" x14ac:dyDescent="0.25">
      <c r="A36" s="2" t="s">
        <v>333</v>
      </c>
      <c r="B36" s="25">
        <v>32</v>
      </c>
      <c r="C36" s="35">
        <v>43519</v>
      </c>
      <c r="D36" s="35">
        <v>43519</v>
      </c>
      <c r="E3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6" s="2">
        <v>26</v>
      </c>
      <c r="G36" s="2">
        <v>1</v>
      </c>
      <c r="H36" s="47">
        <f>WEEKNUM(tbSabana2016[[#This Row],[Fecha de Inicio]],15)</f>
        <v>9</v>
      </c>
      <c r="I36" s="36" t="str">
        <f>TEXT(tbSabana2016[[#This Row],[Fecha de Inicio]],"dddd")</f>
        <v>sábado</v>
      </c>
      <c r="J36" s="36" t="str">
        <f>TEXT(tbSabana2016[[#This Row],[Fecha de Inicio]],"mmmm")</f>
        <v>febrero</v>
      </c>
      <c r="K36" s="37" t="s">
        <v>143</v>
      </c>
      <c r="L36" s="23">
        <v>23</v>
      </c>
      <c r="M36" s="38" t="s">
        <v>123</v>
      </c>
      <c r="N36" s="38" t="s">
        <v>123</v>
      </c>
      <c r="O36" s="38" t="s">
        <v>334</v>
      </c>
      <c r="P36" s="38"/>
      <c r="Q36" s="47">
        <v>19</v>
      </c>
      <c r="R36" s="102">
        <v>1</v>
      </c>
      <c r="S36" s="105">
        <v>44.4</v>
      </c>
      <c r="T36" s="102">
        <v>99</v>
      </c>
      <c r="U36" s="102">
        <v>0</v>
      </c>
      <c r="V36" s="105">
        <v>53.7</v>
      </c>
      <c r="W3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01' 44.40'' W 99° 00' 53.70''</v>
      </c>
      <c r="X36" s="44">
        <v>2495</v>
      </c>
      <c r="Y36" s="19">
        <v>0</v>
      </c>
      <c r="Z36" s="19">
        <v>0</v>
      </c>
      <c r="AA36" s="19">
        <v>0</v>
      </c>
      <c r="AB36" s="19">
        <v>0.9</v>
      </c>
      <c r="AC36" s="19">
        <v>0</v>
      </c>
      <c r="AD36" s="19">
        <v>0</v>
      </c>
      <c r="AE36" s="19">
        <f>SUM(tbSabana2016[[#This Row],[Arbolado Adulto (HA)]:[Suelo Orgánico (HA)]])</f>
        <v>0.9</v>
      </c>
      <c r="AF36" s="9">
        <f t="shared" ref="AF36:AF42" si="22">SUM(AF35,AE36)</f>
        <v>234.60000000000005</v>
      </c>
      <c r="AG36" s="9">
        <f>tbSabana2016[[#This Row],[Acumulado (HA)]]/tbSabana2016[[#This Row],[Incendio en el AÑO]]</f>
        <v>7.3312500000000016</v>
      </c>
      <c r="AH36" s="2" t="s">
        <v>147</v>
      </c>
      <c r="AI36" s="2" t="s">
        <v>283</v>
      </c>
      <c r="AJ36" s="2" t="s">
        <v>133</v>
      </c>
      <c r="AK36" s="2" t="s">
        <v>149</v>
      </c>
      <c r="AL36" s="2" t="s">
        <v>150</v>
      </c>
      <c r="AM36" s="2" t="s">
        <v>151</v>
      </c>
      <c r="AN36" s="32" t="s">
        <v>335</v>
      </c>
      <c r="AO36" s="32" t="s">
        <v>336</v>
      </c>
      <c r="AP36" s="32" t="s">
        <v>337</v>
      </c>
      <c r="AQ36" s="32" t="s">
        <v>338</v>
      </c>
      <c r="AR36" s="32" t="s">
        <v>339</v>
      </c>
      <c r="AS36" s="32"/>
      <c r="AT36" s="32" t="s">
        <v>340</v>
      </c>
      <c r="AU36" s="32" t="s">
        <v>341</v>
      </c>
      <c r="AV36" s="32" t="s">
        <v>342</v>
      </c>
      <c r="AW36" s="40">
        <v>0.20833333333333334</v>
      </c>
      <c r="AX36" s="39">
        <v>3.472222222222222E-3</v>
      </c>
      <c r="AY36" s="39">
        <v>0.10069444444444443</v>
      </c>
      <c r="AZ36" s="40">
        <f>SUM(tbSabana2016[[#This Row],[Duración]])</f>
        <v>0.20833333333333334</v>
      </c>
      <c r="BA36" s="2">
        <v>0.2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0.3</v>
      </c>
      <c r="BH36" s="2">
        <v>0.3</v>
      </c>
      <c r="BI36" s="2">
        <v>0</v>
      </c>
      <c r="BJ36" s="2" t="s">
        <v>181</v>
      </c>
      <c r="BK36" s="2">
        <v>0</v>
      </c>
      <c r="BL36" s="2">
        <v>1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 t="s">
        <v>343</v>
      </c>
      <c r="BT36" s="2">
        <v>8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4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3">
        <f t="shared" ref="CN36:CN42" si="23">SUM(BT36:CM36)</f>
        <v>12</v>
      </c>
      <c r="CO36" s="10">
        <f t="shared" si="6"/>
        <v>405</v>
      </c>
      <c r="CP36" s="10">
        <f t="shared" ref="CP36:CP42" si="24">SUM(BT36:CG36,CI36:CM36)</f>
        <v>12</v>
      </c>
      <c r="CQ36" s="24">
        <f>SUM(tbSabana2016[[#This Row],[Voluntarios]])</f>
        <v>0</v>
      </c>
      <c r="CR36" s="8">
        <f>tbSabana2016[[#This Row],[CONAFOR (Oficiales)]]*383</f>
        <v>3064</v>
      </c>
      <c r="CS36" s="8">
        <f>(tbSabana2016[[#This Row],[Total (Oficiales)]]-tbSabana2016[[#This Row],[CONAFOR (Oficiales)]])*217</f>
        <v>868</v>
      </c>
      <c r="CT36" s="8">
        <f>SUM(tbSabana2016[[#This Row],[Costo CONAFOR]:[Costo Otros]])</f>
        <v>3932</v>
      </c>
      <c r="CU36" s="8">
        <v>840.18</v>
      </c>
      <c r="CV36" s="8">
        <f t="shared" ref="CV36:CV42" si="25">SUM(CT36:CU36)</f>
        <v>4772.18</v>
      </c>
      <c r="CW36" s="2" t="s">
        <v>154</v>
      </c>
      <c r="CX36" s="2" t="s">
        <v>154</v>
      </c>
      <c r="CY36" s="69" t="s">
        <v>154</v>
      </c>
      <c r="CZ36" s="2" t="s">
        <v>154</v>
      </c>
      <c r="DA36" s="2" t="s">
        <v>172</v>
      </c>
      <c r="DB36" s="2" t="s">
        <v>155</v>
      </c>
      <c r="DC36" s="2" t="s">
        <v>468</v>
      </c>
      <c r="DD36" s="2" t="s">
        <v>311</v>
      </c>
      <c r="DE36" s="2" t="s">
        <v>158</v>
      </c>
      <c r="DF36" s="2" t="s">
        <v>159</v>
      </c>
      <c r="DG36" s="2" t="s">
        <v>160</v>
      </c>
      <c r="DH36" s="2">
        <v>0</v>
      </c>
      <c r="DI36" s="2">
        <v>0</v>
      </c>
      <c r="DJ36" s="2">
        <v>0</v>
      </c>
      <c r="DK36" s="2">
        <v>0.9</v>
      </c>
      <c r="DL36" s="2">
        <v>0</v>
      </c>
      <c r="DM36" s="2">
        <v>0</v>
      </c>
      <c r="DN36" s="2">
        <f t="shared" ref="DN36:DN42" si="26">SUM(DH36:DM36)</f>
        <v>0.9</v>
      </c>
      <c r="DO36" s="29"/>
      <c r="DP36" s="30"/>
      <c r="DQ36" s="30"/>
      <c r="DR36" s="30"/>
      <c r="DS36" s="30"/>
      <c r="DT36" s="30"/>
      <c r="DU36" s="30"/>
      <c r="DV36" s="30"/>
    </row>
    <row r="37" spans="1:126" s="31" customFormat="1" ht="15.75" x14ac:dyDescent="0.25">
      <c r="A37" s="2" t="s">
        <v>344</v>
      </c>
      <c r="B37" s="25">
        <v>33</v>
      </c>
      <c r="C37" s="35">
        <v>43519</v>
      </c>
      <c r="D37" s="35">
        <v>43519</v>
      </c>
      <c r="E3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7" s="2">
        <v>27</v>
      </c>
      <c r="G37" s="2">
        <v>1</v>
      </c>
      <c r="H37" s="47">
        <f>WEEKNUM(tbSabana2016[[#This Row],[Fecha de Inicio]],15)</f>
        <v>9</v>
      </c>
      <c r="I37" s="36" t="str">
        <f>TEXT(tbSabana2016[[#This Row],[Fecha de Inicio]],"dddd")</f>
        <v>sábado</v>
      </c>
      <c r="J37" s="36" t="str">
        <f>TEXT(tbSabana2016[[#This Row],[Fecha de Inicio]],"mmmm")</f>
        <v>febrero</v>
      </c>
      <c r="K37" s="37" t="s">
        <v>143</v>
      </c>
      <c r="L37" s="23">
        <v>23</v>
      </c>
      <c r="M37" s="38" t="s">
        <v>123</v>
      </c>
      <c r="N37" s="38" t="s">
        <v>123</v>
      </c>
      <c r="O37" s="38" t="s">
        <v>345</v>
      </c>
      <c r="P37" s="38" t="s">
        <v>249</v>
      </c>
      <c r="Q37" s="47">
        <v>19</v>
      </c>
      <c r="R37" s="102">
        <v>3</v>
      </c>
      <c r="S37" s="105">
        <v>39.6</v>
      </c>
      <c r="T37" s="102">
        <v>99</v>
      </c>
      <c r="U37" s="102">
        <v>3</v>
      </c>
      <c r="V37" s="105">
        <v>6.1</v>
      </c>
      <c r="W3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39.60'' W 99° 03' 06.10''</v>
      </c>
      <c r="X37" s="44">
        <v>3043</v>
      </c>
      <c r="Y37" s="19">
        <v>0</v>
      </c>
      <c r="Z37" s="19">
        <v>5</v>
      </c>
      <c r="AA37" s="19">
        <v>0</v>
      </c>
      <c r="AB37" s="19">
        <v>62.08</v>
      </c>
      <c r="AC37" s="19">
        <v>0</v>
      </c>
      <c r="AD37" s="19">
        <v>0</v>
      </c>
      <c r="AE37" s="19">
        <f>SUM(tbSabana2016[[#This Row],[Arbolado Adulto (HA)]:[Suelo Orgánico (HA)]])</f>
        <v>67.08</v>
      </c>
      <c r="AF37" s="9">
        <f t="shared" si="22"/>
        <v>301.68000000000006</v>
      </c>
      <c r="AG37" s="9">
        <f>tbSabana2016[[#This Row],[Acumulado (HA)]]/tbSabana2016[[#This Row],[Incendio en el AÑO]]</f>
        <v>9.1418181818181843</v>
      </c>
      <c r="AH37" s="2" t="s">
        <v>147</v>
      </c>
      <c r="AI37" s="2" t="s">
        <v>165</v>
      </c>
      <c r="AJ37" s="2" t="s">
        <v>133</v>
      </c>
      <c r="AK37" s="2" t="s">
        <v>149</v>
      </c>
      <c r="AL37" s="2" t="s">
        <v>150</v>
      </c>
      <c r="AM37" s="2" t="s">
        <v>151</v>
      </c>
      <c r="AN37" s="32" t="s">
        <v>346</v>
      </c>
      <c r="AO37" s="32" t="s">
        <v>347</v>
      </c>
      <c r="AP37" s="32" t="s">
        <v>348</v>
      </c>
      <c r="AQ37" s="32" t="s">
        <v>349</v>
      </c>
      <c r="AR37" s="32" t="s">
        <v>350</v>
      </c>
      <c r="AS37" s="32"/>
      <c r="AT37" s="32" t="s">
        <v>340</v>
      </c>
      <c r="AU37" s="32" t="s">
        <v>351</v>
      </c>
      <c r="AV37" s="32" t="s">
        <v>352</v>
      </c>
      <c r="AW37" s="40">
        <v>0.3263888888888889</v>
      </c>
      <c r="AX37" s="39">
        <v>3.472222222222222E-3</v>
      </c>
      <c r="AY37" s="39">
        <v>0.11458333333333333</v>
      </c>
      <c r="AZ37" s="40">
        <f>SUM(tbSabana2016[[#This Row],[Duración]])</f>
        <v>0.3263888888888889</v>
      </c>
      <c r="BA37" s="2">
        <v>2</v>
      </c>
      <c r="BB37" s="2">
        <v>3</v>
      </c>
      <c r="BC37" s="2">
        <v>0</v>
      </c>
      <c r="BD37" s="2">
        <v>0</v>
      </c>
      <c r="BE37" s="2">
        <v>1</v>
      </c>
      <c r="BF37" s="2">
        <v>0</v>
      </c>
      <c r="BG37" s="2">
        <v>0</v>
      </c>
      <c r="BH37" s="2">
        <v>4</v>
      </c>
      <c r="BI37" s="2">
        <v>0</v>
      </c>
      <c r="BJ37" s="2" t="s">
        <v>206</v>
      </c>
      <c r="BK37" s="2">
        <v>0</v>
      </c>
      <c r="BL37" s="2">
        <v>0</v>
      </c>
      <c r="BM37" s="2">
        <v>1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 t="s">
        <v>433</v>
      </c>
      <c r="BT37" s="2">
        <v>10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25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3">
        <f t="shared" si="23"/>
        <v>35</v>
      </c>
      <c r="CO37" s="10">
        <f t="shared" si="6"/>
        <v>440</v>
      </c>
      <c r="CP37" s="10">
        <f t="shared" si="24"/>
        <v>35</v>
      </c>
      <c r="CQ37" s="24">
        <f>SUM(tbSabana2016[[#This Row],[Voluntarios]])</f>
        <v>0</v>
      </c>
      <c r="CR37" s="8">
        <f>tbSabana2016[[#This Row],[CONAFOR (Oficiales)]]*383</f>
        <v>3830</v>
      </c>
      <c r="CS37" s="8">
        <f>(tbSabana2016[[#This Row],[Total (Oficiales)]]-tbSabana2016[[#This Row],[CONAFOR (Oficiales)]])*217</f>
        <v>5425</v>
      </c>
      <c r="CT37" s="8">
        <f>SUM(tbSabana2016[[#This Row],[Costo CONAFOR]:[Costo Otros]])</f>
        <v>9255</v>
      </c>
      <c r="CU37" s="8">
        <v>423.36</v>
      </c>
      <c r="CV37" s="8">
        <f t="shared" si="25"/>
        <v>9678.36</v>
      </c>
      <c r="CW37" s="2" t="s">
        <v>154</v>
      </c>
      <c r="CX37" s="2" t="s">
        <v>154</v>
      </c>
      <c r="CY37" s="69" t="s">
        <v>154</v>
      </c>
      <c r="CZ37" s="2" t="s">
        <v>154</v>
      </c>
      <c r="DA37" s="2" t="s">
        <v>172</v>
      </c>
      <c r="DB37" s="2" t="s">
        <v>155</v>
      </c>
      <c r="DC37" s="2" t="s">
        <v>468</v>
      </c>
      <c r="DD37" s="2" t="s">
        <v>311</v>
      </c>
      <c r="DE37" s="2" t="s">
        <v>170</v>
      </c>
      <c r="DF37" s="2" t="s">
        <v>159</v>
      </c>
      <c r="DG37" s="2" t="s">
        <v>171</v>
      </c>
      <c r="DH37" s="2">
        <v>0</v>
      </c>
      <c r="DI37" s="2">
        <v>5</v>
      </c>
      <c r="DJ37" s="2">
        <v>0</v>
      </c>
      <c r="DK37" s="2">
        <v>62.08</v>
      </c>
      <c r="DL37" s="2">
        <v>0</v>
      </c>
      <c r="DM37" s="2">
        <v>0</v>
      </c>
      <c r="DN37" s="2">
        <f t="shared" si="26"/>
        <v>67.08</v>
      </c>
      <c r="DO37" s="29"/>
      <c r="DP37" s="30"/>
      <c r="DQ37" s="30"/>
      <c r="DR37" s="30"/>
      <c r="DS37" s="30"/>
      <c r="DT37" s="30"/>
      <c r="DU37" s="30"/>
      <c r="DV37" s="30"/>
    </row>
    <row r="38" spans="1:126" s="31" customFormat="1" ht="15.75" x14ac:dyDescent="0.25">
      <c r="A38" s="2" t="s">
        <v>353</v>
      </c>
      <c r="B38" s="25">
        <v>34</v>
      </c>
      <c r="C38" s="35">
        <v>43519</v>
      </c>
      <c r="D38" s="35">
        <v>43519</v>
      </c>
      <c r="E3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8" s="2">
        <v>28</v>
      </c>
      <c r="G38" s="2">
        <v>1</v>
      </c>
      <c r="H38" s="47">
        <f>WEEKNUM(tbSabana2016[[#This Row],[Fecha de Inicio]],15)</f>
        <v>9</v>
      </c>
      <c r="I38" s="36" t="str">
        <f>TEXT(tbSabana2016[[#This Row],[Fecha de Inicio]],"dddd")</f>
        <v>sábado</v>
      </c>
      <c r="J38" s="36" t="str">
        <f>TEXT(tbSabana2016[[#This Row],[Fecha de Inicio]],"mmmm")</f>
        <v>febrero</v>
      </c>
      <c r="K38" s="37" t="s">
        <v>143</v>
      </c>
      <c r="L38" s="23">
        <v>9</v>
      </c>
      <c r="M38" s="38" t="s">
        <v>144</v>
      </c>
      <c r="N38" s="38" t="s">
        <v>144</v>
      </c>
      <c r="O38" s="38" t="s">
        <v>354</v>
      </c>
      <c r="P38" s="38" t="s">
        <v>146</v>
      </c>
      <c r="Q38" s="47">
        <v>19</v>
      </c>
      <c r="R38" s="102">
        <v>7</v>
      </c>
      <c r="S38" s="105">
        <v>12.7</v>
      </c>
      <c r="T38" s="102">
        <v>99</v>
      </c>
      <c r="U38" s="102">
        <v>17</v>
      </c>
      <c r="V38" s="105">
        <v>45.3</v>
      </c>
      <c r="W3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07' 12.70'' W 99° 17' 45.30''</v>
      </c>
      <c r="X38" s="44">
        <v>3184</v>
      </c>
      <c r="Y38" s="19">
        <v>0</v>
      </c>
      <c r="Z38" s="19">
        <v>0</v>
      </c>
      <c r="AA38" s="19">
        <v>0.5</v>
      </c>
      <c r="AB38" s="19">
        <v>0.4</v>
      </c>
      <c r="AC38" s="19">
        <v>0</v>
      </c>
      <c r="AD38" s="19">
        <v>0</v>
      </c>
      <c r="AE38" s="19">
        <f>SUM(tbSabana2016[[#This Row],[Arbolado Adulto (HA)]:[Suelo Orgánico (HA)]])</f>
        <v>0.9</v>
      </c>
      <c r="AF38" s="9">
        <f t="shared" si="22"/>
        <v>302.58000000000004</v>
      </c>
      <c r="AG38" s="9">
        <f>tbSabana2016[[#This Row],[Acumulado (HA)]]/tbSabana2016[[#This Row],[Incendio en el AÑO]]</f>
        <v>8.8994117647058832</v>
      </c>
      <c r="AH38" s="2" t="s">
        <v>147</v>
      </c>
      <c r="AI38" s="2" t="s">
        <v>355</v>
      </c>
      <c r="AJ38" s="2" t="s">
        <v>133</v>
      </c>
      <c r="AK38" s="2" t="s">
        <v>149</v>
      </c>
      <c r="AL38" s="2" t="s">
        <v>150</v>
      </c>
      <c r="AM38" s="2" t="s">
        <v>151</v>
      </c>
      <c r="AN38" s="32" t="s">
        <v>356</v>
      </c>
      <c r="AO38" s="32" t="s">
        <v>357</v>
      </c>
      <c r="AP38" s="32" t="s">
        <v>358</v>
      </c>
      <c r="AQ38" s="32" t="s">
        <v>359</v>
      </c>
      <c r="AR38" s="32" t="s">
        <v>360</v>
      </c>
      <c r="AS38" s="32"/>
      <c r="AT38" s="32" t="s">
        <v>361</v>
      </c>
      <c r="AU38" s="32" t="s">
        <v>341</v>
      </c>
      <c r="AV38" s="32"/>
      <c r="AW38" s="40">
        <v>0.21527777777777779</v>
      </c>
      <c r="AX38" s="39">
        <v>3.472222222222222E-3</v>
      </c>
      <c r="AY38" s="39">
        <v>8.6805555555555566E-2</v>
      </c>
      <c r="AZ38" s="40">
        <f>SUM(tbSabana2016[[#This Row],[Duración]])</f>
        <v>0.21527777777777779</v>
      </c>
      <c r="BA38" s="2">
        <v>0.1</v>
      </c>
      <c r="BB38" s="2">
        <v>0.04</v>
      </c>
      <c r="BC38" s="2">
        <v>0</v>
      </c>
      <c r="BD38" s="2">
        <v>0</v>
      </c>
      <c r="BE38" s="2">
        <v>0.1</v>
      </c>
      <c r="BF38" s="2">
        <v>0</v>
      </c>
      <c r="BG38" s="2">
        <v>7.0000000000000007E-2</v>
      </c>
      <c r="BH38" s="2">
        <v>0.06</v>
      </c>
      <c r="BI38" s="2">
        <v>0</v>
      </c>
      <c r="BJ38" s="2" t="s">
        <v>179</v>
      </c>
      <c r="BK38" s="2">
        <v>0</v>
      </c>
      <c r="BL38" s="2">
        <v>0</v>
      </c>
      <c r="BM38" s="2">
        <v>0</v>
      </c>
      <c r="BN38" s="2">
        <v>1</v>
      </c>
      <c r="BO38" s="2">
        <v>0</v>
      </c>
      <c r="BP38" s="2">
        <v>0</v>
      </c>
      <c r="BQ38" s="2">
        <v>0</v>
      </c>
      <c r="BR38" s="2">
        <v>0</v>
      </c>
      <c r="BS38" s="2"/>
      <c r="BT38" s="2">
        <v>9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3">
        <f t="shared" si="23"/>
        <v>9</v>
      </c>
      <c r="CO38" s="10">
        <f t="shared" si="6"/>
        <v>449</v>
      </c>
      <c r="CP38" s="10">
        <f t="shared" si="24"/>
        <v>9</v>
      </c>
      <c r="CQ38" s="24">
        <f>SUM(tbSabana2016[[#This Row],[Voluntarios]])</f>
        <v>0</v>
      </c>
      <c r="CR38" s="8">
        <f>tbSabana2016[[#This Row],[CONAFOR (Oficiales)]]*383</f>
        <v>3447</v>
      </c>
      <c r="CS38" s="8">
        <f>(tbSabana2016[[#This Row],[Total (Oficiales)]]-tbSabana2016[[#This Row],[CONAFOR (Oficiales)]])*217</f>
        <v>0</v>
      </c>
      <c r="CT38" s="8">
        <f>SUM(tbSabana2016[[#This Row],[Costo CONAFOR]:[Costo Otros]])</f>
        <v>3447</v>
      </c>
      <c r="CU38" s="8">
        <v>410.29</v>
      </c>
      <c r="CV38" s="8">
        <f t="shared" si="25"/>
        <v>3857.29</v>
      </c>
      <c r="CW38" s="2" t="s">
        <v>154</v>
      </c>
      <c r="CX38" s="2" t="s">
        <v>154</v>
      </c>
      <c r="CY38" s="69" t="s">
        <v>154</v>
      </c>
      <c r="CZ38" s="2" t="s">
        <v>154</v>
      </c>
      <c r="DA38" s="2" t="s">
        <v>172</v>
      </c>
      <c r="DB38" s="2" t="s">
        <v>155</v>
      </c>
      <c r="DC38" s="2" t="s">
        <v>362</v>
      </c>
      <c r="DD38" s="2" t="s">
        <v>370</v>
      </c>
      <c r="DE38" s="2" t="s">
        <v>202</v>
      </c>
      <c r="DF38" s="2" t="s">
        <v>159</v>
      </c>
      <c r="DG38" s="2" t="s">
        <v>203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f t="shared" si="26"/>
        <v>0</v>
      </c>
      <c r="DO38" s="29"/>
      <c r="DP38" s="30"/>
      <c r="DQ38" s="30"/>
      <c r="DR38" s="30"/>
      <c r="DS38" s="30"/>
      <c r="DT38" s="30"/>
      <c r="DU38" s="30"/>
      <c r="DV38" s="30"/>
    </row>
    <row r="39" spans="1:126" s="31" customFormat="1" ht="15.75" x14ac:dyDescent="0.25">
      <c r="A39" s="2" t="s">
        <v>363</v>
      </c>
      <c r="B39" s="25">
        <v>35</v>
      </c>
      <c r="C39" s="35">
        <v>43519</v>
      </c>
      <c r="D39" s="35">
        <v>43519</v>
      </c>
      <c r="E3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39" s="2">
        <v>29</v>
      </c>
      <c r="G39" s="2">
        <v>1</v>
      </c>
      <c r="H39" s="47">
        <f>WEEKNUM(tbSabana2016[[#This Row],[Fecha de Inicio]],15)</f>
        <v>9</v>
      </c>
      <c r="I39" s="36" t="str">
        <f>TEXT(tbSabana2016[[#This Row],[Fecha de Inicio]],"dddd")</f>
        <v>sábado</v>
      </c>
      <c r="J39" s="36" t="str">
        <f>TEXT(tbSabana2016[[#This Row],[Fecha de Inicio]],"mmmm")</f>
        <v>febrero</v>
      </c>
      <c r="K39" s="37" t="s">
        <v>143</v>
      </c>
      <c r="L39" s="23">
        <v>9</v>
      </c>
      <c r="M39" s="38" t="s">
        <v>144</v>
      </c>
      <c r="N39" s="38" t="s">
        <v>144</v>
      </c>
      <c r="O39" s="38" t="s">
        <v>364</v>
      </c>
      <c r="P39" s="38" t="s">
        <v>219</v>
      </c>
      <c r="Q39" s="47">
        <v>19</v>
      </c>
      <c r="R39" s="102">
        <v>6</v>
      </c>
      <c r="S39" s="105">
        <v>56.7</v>
      </c>
      <c r="T39" s="102">
        <v>99</v>
      </c>
      <c r="U39" s="102">
        <v>17</v>
      </c>
      <c r="V39" s="105">
        <v>55.8</v>
      </c>
      <c r="W3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06' 56.70'' W 99° 17' 55.80''</v>
      </c>
      <c r="X39" s="44">
        <v>3146</v>
      </c>
      <c r="Y39" s="19">
        <v>0</v>
      </c>
      <c r="Z39" s="19">
        <v>0</v>
      </c>
      <c r="AA39" s="19">
        <v>0.3</v>
      </c>
      <c r="AB39" s="19">
        <v>0.5</v>
      </c>
      <c r="AC39" s="19">
        <v>0</v>
      </c>
      <c r="AD39" s="19">
        <v>0</v>
      </c>
      <c r="AE39" s="19">
        <f>SUM(tbSabana2016[[#This Row],[Arbolado Adulto (HA)]:[Suelo Orgánico (HA)]])</f>
        <v>0.8</v>
      </c>
      <c r="AF39" s="9">
        <f t="shared" si="22"/>
        <v>303.38000000000005</v>
      </c>
      <c r="AG39" s="9">
        <f>tbSabana2016[[#This Row],[Acumulado (HA)]]/tbSabana2016[[#This Row],[Incendio en el AÑO]]</f>
        <v>8.668000000000001</v>
      </c>
      <c r="AH39" s="2" t="s">
        <v>147</v>
      </c>
      <c r="AI39" s="2" t="s">
        <v>355</v>
      </c>
      <c r="AJ39" s="2" t="s">
        <v>133</v>
      </c>
      <c r="AK39" s="2" t="s">
        <v>149</v>
      </c>
      <c r="AL39" s="2" t="s">
        <v>150</v>
      </c>
      <c r="AM39" s="2" t="s">
        <v>151</v>
      </c>
      <c r="AN39" s="32" t="s">
        <v>365</v>
      </c>
      <c r="AO39" s="32" t="s">
        <v>366</v>
      </c>
      <c r="AP39" s="32" t="s">
        <v>341</v>
      </c>
      <c r="AQ39" s="32" t="s">
        <v>367</v>
      </c>
      <c r="AR39" s="32" t="s">
        <v>368</v>
      </c>
      <c r="AS39" s="32"/>
      <c r="AT39" s="32" t="s">
        <v>351</v>
      </c>
      <c r="AU39" s="32" t="s">
        <v>369</v>
      </c>
      <c r="AV39" s="32" t="s">
        <v>342</v>
      </c>
      <c r="AW39" s="40">
        <v>0.11527777777777777</v>
      </c>
      <c r="AX39" s="39">
        <v>2.0833333333333333E-3</v>
      </c>
      <c r="AY39" s="39">
        <v>1.0416666666666666E-2</v>
      </c>
      <c r="AZ39" s="40">
        <f>SUM(tbSabana2016[[#This Row],[Duración]])</f>
        <v>0.11527777777777777</v>
      </c>
      <c r="BA39" s="2">
        <v>0.03</v>
      </c>
      <c r="BB39" s="2">
        <v>7.0000000000000007E-2</v>
      </c>
      <c r="BC39" s="2">
        <v>0</v>
      </c>
      <c r="BD39" s="2">
        <v>0</v>
      </c>
      <c r="BE39" s="2">
        <v>0.05</v>
      </c>
      <c r="BF39" s="2">
        <v>0</v>
      </c>
      <c r="BG39" s="2">
        <v>0.04</v>
      </c>
      <c r="BH39" s="2">
        <v>0.05</v>
      </c>
      <c r="BI39" s="2">
        <v>0</v>
      </c>
      <c r="BJ39" s="2" t="s">
        <v>179</v>
      </c>
      <c r="BK39" s="2">
        <v>0</v>
      </c>
      <c r="BL39" s="2">
        <v>0</v>
      </c>
      <c r="BM39" s="2">
        <v>0</v>
      </c>
      <c r="BN39" s="2">
        <v>1</v>
      </c>
      <c r="BO39" s="2">
        <v>0</v>
      </c>
      <c r="BP39" s="2">
        <v>0</v>
      </c>
      <c r="BQ39" s="2">
        <v>0</v>
      </c>
      <c r="BR39" s="2">
        <v>0</v>
      </c>
      <c r="BS39" s="2"/>
      <c r="BT39" s="2">
        <v>9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3">
        <f t="shared" si="23"/>
        <v>9</v>
      </c>
      <c r="CO39" s="10">
        <f t="shared" si="6"/>
        <v>458</v>
      </c>
      <c r="CP39" s="10">
        <f t="shared" si="24"/>
        <v>9</v>
      </c>
      <c r="CQ39" s="24">
        <f>SUM(tbSabana2016[[#This Row],[Voluntarios]])</f>
        <v>0</v>
      </c>
      <c r="CR39" s="8">
        <f>tbSabana2016[[#This Row],[CONAFOR (Oficiales)]]*383</f>
        <v>3447</v>
      </c>
      <c r="CS39" s="8">
        <f>(tbSabana2016[[#This Row],[Total (Oficiales)]]-tbSabana2016[[#This Row],[CONAFOR (Oficiales)]])*217</f>
        <v>0</v>
      </c>
      <c r="CT39" s="8">
        <f>SUM(tbSabana2016[[#This Row],[Costo CONAFOR]:[Costo Otros]])</f>
        <v>3447</v>
      </c>
      <c r="CU39" s="8">
        <v>392</v>
      </c>
      <c r="CV39" s="8">
        <f t="shared" si="25"/>
        <v>3839</v>
      </c>
      <c r="CW39" s="2" t="s">
        <v>154</v>
      </c>
      <c r="CX39" s="2" t="s">
        <v>154</v>
      </c>
      <c r="CY39" s="69" t="s">
        <v>154</v>
      </c>
      <c r="CZ39" s="2" t="s">
        <v>154</v>
      </c>
      <c r="DA39" s="2" t="s">
        <v>172</v>
      </c>
      <c r="DB39" s="2" t="s">
        <v>155</v>
      </c>
      <c r="DC39" s="2" t="s">
        <v>256</v>
      </c>
      <c r="DD39" s="2" t="s">
        <v>257</v>
      </c>
      <c r="DE39" s="2" t="s">
        <v>158</v>
      </c>
      <c r="DF39" s="2" t="s">
        <v>159</v>
      </c>
      <c r="DG39" s="2" t="s">
        <v>160</v>
      </c>
      <c r="DH39" s="2">
        <v>0</v>
      </c>
      <c r="DI39" s="2">
        <v>0</v>
      </c>
      <c r="DJ39" s="2">
        <v>0.3</v>
      </c>
      <c r="DK39" s="2">
        <v>0.5</v>
      </c>
      <c r="DL39" s="2">
        <v>0</v>
      </c>
      <c r="DM39" s="2">
        <v>0</v>
      </c>
      <c r="DN39" s="2">
        <f t="shared" si="26"/>
        <v>0.8</v>
      </c>
      <c r="DO39" s="29"/>
      <c r="DP39" s="30"/>
      <c r="DQ39" s="30"/>
      <c r="DR39" s="30"/>
      <c r="DS39" s="30"/>
      <c r="DT39" s="30"/>
      <c r="DU39" s="30"/>
      <c r="DV39" s="30"/>
    </row>
    <row r="40" spans="1:126" s="31" customFormat="1" ht="15.75" x14ac:dyDescent="0.25">
      <c r="A40" s="2" t="s">
        <v>371</v>
      </c>
      <c r="B40" s="25">
        <v>36</v>
      </c>
      <c r="C40" s="35">
        <v>43520</v>
      </c>
      <c r="D40" s="35">
        <v>43520</v>
      </c>
      <c r="E4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0" s="2">
        <v>30</v>
      </c>
      <c r="G40" s="2">
        <v>1</v>
      </c>
      <c r="H40" s="47">
        <f>WEEKNUM(tbSabana2016[[#This Row],[Fecha de Inicio]],15)</f>
        <v>9</v>
      </c>
      <c r="I40" s="36" t="str">
        <f>TEXT(tbSabana2016[[#This Row],[Fecha de Inicio]],"dddd")</f>
        <v>domingo</v>
      </c>
      <c r="J40" s="36" t="str">
        <f>TEXT(tbSabana2016[[#This Row],[Fecha de Inicio]],"mmmm")</f>
        <v>febrero</v>
      </c>
      <c r="K40" s="37" t="s">
        <v>143</v>
      </c>
      <c r="L40" s="23">
        <v>9</v>
      </c>
      <c r="M40" s="38" t="s">
        <v>144</v>
      </c>
      <c r="N40" s="38" t="s">
        <v>144</v>
      </c>
      <c r="O40" s="38" t="s">
        <v>372</v>
      </c>
      <c r="P40" s="38" t="s">
        <v>174</v>
      </c>
      <c r="Q40" s="47">
        <v>19</v>
      </c>
      <c r="R40" s="102">
        <v>5</v>
      </c>
      <c r="S40" s="105">
        <v>37.799999999999997</v>
      </c>
      <c r="T40" s="102">
        <v>99</v>
      </c>
      <c r="U40" s="102">
        <v>12</v>
      </c>
      <c r="V40" s="105">
        <v>35.1</v>
      </c>
      <c r="W4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05' 37.80'' W 99° 12' 35.10''</v>
      </c>
      <c r="X40" s="44">
        <v>2997</v>
      </c>
      <c r="Y40" s="19">
        <v>0</v>
      </c>
      <c r="Z40" s="19">
        <v>0</v>
      </c>
      <c r="AA40" s="19">
        <v>0</v>
      </c>
      <c r="AB40" s="19">
        <v>0.98</v>
      </c>
      <c r="AC40" s="19">
        <v>0</v>
      </c>
      <c r="AD40" s="19">
        <v>0</v>
      </c>
      <c r="AE40" s="19">
        <f>SUM(tbSabana2016[[#This Row],[Arbolado Adulto (HA)]:[Suelo Orgánico (HA)]])</f>
        <v>0.98</v>
      </c>
      <c r="AF40" s="9">
        <f t="shared" si="22"/>
        <v>304.36000000000007</v>
      </c>
      <c r="AG40" s="9">
        <f>tbSabana2016[[#This Row],[Acumulado (HA)]]/tbSabana2016[[#This Row],[Incendio en el AÑO]]</f>
        <v>8.4544444444444462</v>
      </c>
      <c r="AH40" s="2" t="s">
        <v>147</v>
      </c>
      <c r="AI40" s="2" t="s">
        <v>355</v>
      </c>
      <c r="AJ40" s="2" t="s">
        <v>139</v>
      </c>
      <c r="AK40" s="2" t="s">
        <v>166</v>
      </c>
      <c r="AL40" s="2" t="s">
        <v>150</v>
      </c>
      <c r="AM40" s="2" t="s">
        <v>151</v>
      </c>
      <c r="AN40" s="32" t="s">
        <v>373</v>
      </c>
      <c r="AO40" s="32" t="s">
        <v>374</v>
      </c>
      <c r="AP40" s="32" t="s">
        <v>375</v>
      </c>
      <c r="AQ40" s="32" t="s">
        <v>376</v>
      </c>
      <c r="AR40" s="32" t="s">
        <v>377</v>
      </c>
      <c r="AS40" s="32"/>
      <c r="AT40" s="32" t="s">
        <v>378</v>
      </c>
      <c r="AU40" s="32" t="s">
        <v>379</v>
      </c>
      <c r="AV40" s="32" t="s">
        <v>380</v>
      </c>
      <c r="AW40" s="40">
        <v>0.13541666666666666</v>
      </c>
      <c r="AX40" s="39">
        <v>1.0416666666666666E-2</v>
      </c>
      <c r="AY40" s="39">
        <v>5.5555555555555552E-2</v>
      </c>
      <c r="AZ40" s="40">
        <f>SUM(tbSabana2016[[#This Row],[Duración]])</f>
        <v>0.13541666666666666</v>
      </c>
      <c r="BA40" s="2">
        <v>0.3</v>
      </c>
      <c r="BB40" s="2">
        <v>0.27</v>
      </c>
      <c r="BC40" s="2">
        <v>0.1</v>
      </c>
      <c r="BD40" s="2">
        <v>0</v>
      </c>
      <c r="BE40" s="2">
        <v>0.06</v>
      </c>
      <c r="BF40" s="2">
        <v>0</v>
      </c>
      <c r="BG40" s="2">
        <v>0.4</v>
      </c>
      <c r="BH40" s="2">
        <v>0.8</v>
      </c>
      <c r="BI40" s="2">
        <v>0</v>
      </c>
      <c r="BJ40" s="2" t="s">
        <v>176</v>
      </c>
      <c r="BK40" s="2">
        <v>1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 t="s">
        <v>381</v>
      </c>
      <c r="BT40" s="2">
        <v>8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10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3">
        <f t="shared" si="23"/>
        <v>18</v>
      </c>
      <c r="CO40" s="10">
        <f t="shared" si="6"/>
        <v>476</v>
      </c>
      <c r="CP40" s="10">
        <f t="shared" si="24"/>
        <v>18</v>
      </c>
      <c r="CQ40" s="24">
        <f>SUM(tbSabana2016[[#This Row],[Voluntarios]])</f>
        <v>0</v>
      </c>
      <c r="CR40" s="8">
        <f>tbSabana2016[[#This Row],[CONAFOR (Oficiales)]]*383</f>
        <v>3064</v>
      </c>
      <c r="CS40" s="8">
        <f>(tbSabana2016[[#This Row],[Total (Oficiales)]]-tbSabana2016[[#This Row],[CONAFOR (Oficiales)]])*217</f>
        <v>2170</v>
      </c>
      <c r="CT40" s="8">
        <f>SUM(tbSabana2016[[#This Row],[Costo CONAFOR]:[Costo Otros]])</f>
        <v>5234</v>
      </c>
      <c r="CU40" s="8">
        <v>285</v>
      </c>
      <c r="CV40" s="8">
        <f t="shared" si="25"/>
        <v>5519</v>
      </c>
      <c r="CW40" s="2" t="s">
        <v>154</v>
      </c>
      <c r="CX40" s="2" t="s">
        <v>154</v>
      </c>
      <c r="CY40" s="69" t="s">
        <v>154</v>
      </c>
      <c r="CZ40" s="2" t="s">
        <v>154</v>
      </c>
      <c r="DA40" s="2" t="s">
        <v>172</v>
      </c>
      <c r="DB40" s="2" t="s">
        <v>155</v>
      </c>
      <c r="DC40" s="2" t="s">
        <v>156</v>
      </c>
      <c r="DD40" s="2" t="s">
        <v>157</v>
      </c>
      <c r="DE40" s="2" t="s">
        <v>158</v>
      </c>
      <c r="DF40" s="2" t="s">
        <v>159</v>
      </c>
      <c r="DG40" s="2" t="s">
        <v>160</v>
      </c>
      <c r="DH40" s="2">
        <v>0</v>
      </c>
      <c r="DI40" s="2">
        <v>0</v>
      </c>
      <c r="DJ40" s="2">
        <v>0</v>
      </c>
      <c r="DK40" s="2">
        <v>0.98</v>
      </c>
      <c r="DL40" s="2">
        <v>0</v>
      </c>
      <c r="DM40" s="2">
        <v>0</v>
      </c>
      <c r="DN40" s="2">
        <f t="shared" si="26"/>
        <v>0.98</v>
      </c>
      <c r="DO40" s="29"/>
      <c r="DP40" s="30"/>
      <c r="DQ40" s="30"/>
      <c r="DR40" s="30"/>
      <c r="DS40" s="30"/>
      <c r="DT40" s="30"/>
      <c r="DU40" s="30"/>
      <c r="DV40" s="30"/>
    </row>
    <row r="41" spans="1:126" s="31" customFormat="1" ht="15.75" x14ac:dyDescent="0.25">
      <c r="A41" s="2" t="s">
        <v>382</v>
      </c>
      <c r="B41" s="25">
        <v>37</v>
      </c>
      <c r="C41" s="35">
        <v>43520</v>
      </c>
      <c r="D41" s="35">
        <v>43520</v>
      </c>
      <c r="E4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1" s="2">
        <v>31</v>
      </c>
      <c r="G41" s="2">
        <v>1</v>
      </c>
      <c r="H41" s="47">
        <f>WEEKNUM(tbSabana2016[[#This Row],[Fecha de Inicio]],15)</f>
        <v>9</v>
      </c>
      <c r="I41" s="36" t="str">
        <f>TEXT(tbSabana2016[[#This Row],[Fecha de Inicio]],"dddd")</f>
        <v>domingo</v>
      </c>
      <c r="J41" s="36" t="str">
        <f>TEXT(tbSabana2016[[#This Row],[Fecha de Inicio]],"mmmm")</f>
        <v>febrero</v>
      </c>
      <c r="K41" s="37" t="s">
        <v>143</v>
      </c>
      <c r="L41" s="23">
        <v>20</v>
      </c>
      <c r="M41" s="38" t="s">
        <v>162</v>
      </c>
      <c r="N41" s="38" t="s">
        <v>163</v>
      </c>
      <c r="O41" s="38" t="s">
        <v>383</v>
      </c>
      <c r="P41" s="38" t="s">
        <v>174</v>
      </c>
      <c r="Q41" s="47">
        <v>18</v>
      </c>
      <c r="R41" s="102">
        <v>57</v>
      </c>
      <c r="S41" s="105">
        <v>56.1</v>
      </c>
      <c r="T41" s="102">
        <v>99</v>
      </c>
      <c r="U41" s="102">
        <v>10</v>
      </c>
      <c r="V41" s="105">
        <v>35</v>
      </c>
      <c r="W4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56.10'' W 99° 10' 35.00''</v>
      </c>
      <c r="X41" s="44">
        <v>1668</v>
      </c>
      <c r="Y41" s="19">
        <v>0</v>
      </c>
      <c r="Z41" s="19">
        <v>0</v>
      </c>
      <c r="AA41" s="19">
        <v>0</v>
      </c>
      <c r="AB41" s="19">
        <v>0.9</v>
      </c>
      <c r="AC41" s="19">
        <v>0</v>
      </c>
      <c r="AD41" s="19">
        <v>0</v>
      </c>
      <c r="AE41" s="19">
        <f>SUM(tbSabana2016[[#This Row],[Arbolado Adulto (HA)]:[Suelo Orgánico (HA)]])</f>
        <v>0.9</v>
      </c>
      <c r="AF41" s="9">
        <f t="shared" si="22"/>
        <v>305.26000000000005</v>
      </c>
      <c r="AG41" s="9">
        <f>tbSabana2016[[#This Row],[Acumulado (HA)]]/tbSabana2016[[#This Row],[Incendio en el AÑO]]</f>
        <v>8.2502702702702724</v>
      </c>
      <c r="AH41" s="2" t="s">
        <v>147</v>
      </c>
      <c r="AI41" s="2" t="s">
        <v>165</v>
      </c>
      <c r="AJ41" s="2" t="s">
        <v>135</v>
      </c>
      <c r="AK41" s="2" t="s">
        <v>175</v>
      </c>
      <c r="AL41" s="2" t="s">
        <v>150</v>
      </c>
      <c r="AM41" s="2" t="s">
        <v>151</v>
      </c>
      <c r="AN41" s="32" t="s">
        <v>384</v>
      </c>
      <c r="AO41" s="32" t="s">
        <v>385</v>
      </c>
      <c r="AP41" s="32" t="s">
        <v>386</v>
      </c>
      <c r="AQ41" s="32" t="s">
        <v>387</v>
      </c>
      <c r="AR41" s="32" t="s">
        <v>388</v>
      </c>
      <c r="AS41" s="32"/>
      <c r="AT41" s="32" t="s">
        <v>389</v>
      </c>
      <c r="AU41" s="32" t="s">
        <v>390</v>
      </c>
      <c r="AV41" s="32" t="s">
        <v>391</v>
      </c>
      <c r="AW41" s="40">
        <v>0.10416666666666667</v>
      </c>
      <c r="AX41" s="39">
        <v>3.472222222222222E-3</v>
      </c>
      <c r="AY41" s="39">
        <v>3.8194444444444441E-2</v>
      </c>
      <c r="AZ41" s="40">
        <f>SUM(tbSabana2016[[#This Row],[Duración]])</f>
        <v>0.10416666666666667</v>
      </c>
      <c r="BA41" s="2">
        <v>0.05</v>
      </c>
      <c r="BB41" s="2">
        <v>0.1</v>
      </c>
      <c r="BC41" s="2">
        <v>0</v>
      </c>
      <c r="BD41" s="2">
        <v>0</v>
      </c>
      <c r="BE41" s="2">
        <v>0.05</v>
      </c>
      <c r="BF41" s="2">
        <v>0</v>
      </c>
      <c r="BG41" s="2">
        <v>0</v>
      </c>
      <c r="BH41" s="2">
        <v>0</v>
      </c>
      <c r="BI41" s="2">
        <v>0</v>
      </c>
      <c r="BJ41" s="2" t="s">
        <v>206</v>
      </c>
      <c r="BK41" s="2">
        <v>0</v>
      </c>
      <c r="BL41" s="2">
        <v>0</v>
      </c>
      <c r="BM41" s="2">
        <v>1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/>
      <c r="BT41" s="2">
        <v>9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3">
        <f t="shared" si="23"/>
        <v>9</v>
      </c>
      <c r="CO41" s="10">
        <f t="shared" si="6"/>
        <v>485</v>
      </c>
      <c r="CP41" s="10">
        <f t="shared" si="24"/>
        <v>9</v>
      </c>
      <c r="CQ41" s="24">
        <f>SUM(tbSabana2016[[#This Row],[Voluntarios]])</f>
        <v>0</v>
      </c>
      <c r="CR41" s="8">
        <f>tbSabana2016[[#This Row],[CONAFOR (Oficiales)]]*383</f>
        <v>3447</v>
      </c>
      <c r="CS41" s="8">
        <f>(tbSabana2016[[#This Row],[Total (Oficiales)]]-tbSabana2016[[#This Row],[CONAFOR (Oficiales)]])*217</f>
        <v>0</v>
      </c>
      <c r="CT41" s="8">
        <f>SUM(tbSabana2016[[#This Row],[Costo CONAFOR]:[Costo Otros]])</f>
        <v>3447</v>
      </c>
      <c r="CU41" s="8">
        <v>138.5</v>
      </c>
      <c r="CV41" s="8">
        <f t="shared" si="25"/>
        <v>3585.5</v>
      </c>
      <c r="CW41" s="2" t="s">
        <v>154</v>
      </c>
      <c r="CX41" s="2" t="s">
        <v>154</v>
      </c>
      <c r="CY41" s="69" t="s">
        <v>154</v>
      </c>
      <c r="CZ41" s="2" t="s">
        <v>154</v>
      </c>
      <c r="DA41" s="2" t="s">
        <v>172</v>
      </c>
      <c r="DB41" s="2" t="s">
        <v>155</v>
      </c>
      <c r="DC41" s="2" t="s">
        <v>168</v>
      </c>
      <c r="DD41" s="2" t="s">
        <v>169</v>
      </c>
      <c r="DE41" s="2" t="s">
        <v>170</v>
      </c>
      <c r="DF41" s="2" t="s">
        <v>159</v>
      </c>
      <c r="DG41" s="2" t="s">
        <v>171</v>
      </c>
      <c r="DH41" s="2">
        <v>0</v>
      </c>
      <c r="DI41" s="2">
        <v>0</v>
      </c>
      <c r="DJ41" s="2">
        <v>0</v>
      </c>
      <c r="DK41" s="2">
        <v>0.9</v>
      </c>
      <c r="DL41" s="2">
        <v>0</v>
      </c>
      <c r="DM41" s="2">
        <v>0</v>
      </c>
      <c r="DN41" s="2">
        <f t="shared" si="26"/>
        <v>0.9</v>
      </c>
      <c r="DO41" s="29"/>
      <c r="DP41" s="30"/>
      <c r="DQ41" s="30"/>
      <c r="DR41" s="30"/>
      <c r="DS41" s="30"/>
      <c r="DT41" s="30"/>
      <c r="DU41" s="30"/>
      <c r="DV41" s="30"/>
    </row>
    <row r="42" spans="1:126" s="31" customFormat="1" ht="15.75" x14ac:dyDescent="0.25">
      <c r="A42" s="2" t="s">
        <v>392</v>
      </c>
      <c r="B42" s="25">
        <v>38</v>
      </c>
      <c r="C42" s="35">
        <v>43520</v>
      </c>
      <c r="D42" s="35">
        <v>43520</v>
      </c>
      <c r="E4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2" s="2">
        <v>32</v>
      </c>
      <c r="G42" s="2">
        <v>1</v>
      </c>
      <c r="H42" s="47">
        <f>WEEKNUM(tbSabana2016[[#This Row],[Fecha de Inicio]],15)</f>
        <v>9</v>
      </c>
      <c r="I42" s="36" t="str">
        <f>TEXT(tbSabana2016[[#This Row],[Fecha de Inicio]],"dddd")</f>
        <v>domingo</v>
      </c>
      <c r="J42" s="36" t="str">
        <f>TEXT(tbSabana2016[[#This Row],[Fecha de Inicio]],"mmmm")</f>
        <v>febrero</v>
      </c>
      <c r="K42" s="37" t="s">
        <v>143</v>
      </c>
      <c r="L42" s="23">
        <v>20</v>
      </c>
      <c r="M42" s="38" t="s">
        <v>162</v>
      </c>
      <c r="N42" s="38" t="s">
        <v>212</v>
      </c>
      <c r="O42" s="38" t="s">
        <v>393</v>
      </c>
      <c r="P42" s="38" t="s">
        <v>146</v>
      </c>
      <c r="Q42" s="47">
        <v>18</v>
      </c>
      <c r="R42" s="102">
        <v>56</v>
      </c>
      <c r="S42" s="105">
        <v>15.14</v>
      </c>
      <c r="T42" s="102">
        <v>99</v>
      </c>
      <c r="U42" s="102">
        <v>2</v>
      </c>
      <c r="V42" s="105">
        <v>13.09</v>
      </c>
      <c r="W4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15.14'' W 99° 02' 13.09''</v>
      </c>
      <c r="X42" s="44">
        <v>1357</v>
      </c>
      <c r="Y42" s="19">
        <v>0</v>
      </c>
      <c r="Z42" s="19">
        <v>0</v>
      </c>
      <c r="AA42" s="19">
        <v>0.61</v>
      </c>
      <c r="AB42" s="19">
        <v>1</v>
      </c>
      <c r="AC42" s="19">
        <v>0</v>
      </c>
      <c r="AD42" s="19">
        <v>0</v>
      </c>
      <c r="AE42" s="19">
        <f>SUM(tbSabana2016[[#This Row],[Arbolado Adulto (HA)]:[Suelo Orgánico (HA)]])</f>
        <v>1.6099999999999999</v>
      </c>
      <c r="AF42" s="9">
        <f t="shared" si="22"/>
        <v>306.87000000000006</v>
      </c>
      <c r="AG42" s="9">
        <f>tbSabana2016[[#This Row],[Acumulado (HA)]]/tbSabana2016[[#This Row],[Incendio en el AÑO]]</f>
        <v>8.0755263157894746</v>
      </c>
      <c r="AH42" s="2" t="s">
        <v>147</v>
      </c>
      <c r="AI42" s="2" t="s">
        <v>283</v>
      </c>
      <c r="AJ42" s="2" t="s">
        <v>134</v>
      </c>
      <c r="AK42" s="2" t="s">
        <v>200</v>
      </c>
      <c r="AL42" s="2" t="s">
        <v>150</v>
      </c>
      <c r="AM42" s="2" t="s">
        <v>151</v>
      </c>
      <c r="AN42" s="32" t="s">
        <v>394</v>
      </c>
      <c r="AO42" s="32" t="s">
        <v>395</v>
      </c>
      <c r="AP42" s="32" t="s">
        <v>396</v>
      </c>
      <c r="AQ42" s="32" t="s">
        <v>397</v>
      </c>
      <c r="AR42" s="32" t="s">
        <v>398</v>
      </c>
      <c r="AS42" s="32"/>
      <c r="AT42" s="32" t="s">
        <v>399</v>
      </c>
      <c r="AU42" s="32" t="s">
        <v>400</v>
      </c>
      <c r="AV42" s="32" t="s">
        <v>401</v>
      </c>
      <c r="AW42" s="40">
        <v>0.14930555555555555</v>
      </c>
      <c r="AX42" s="39">
        <v>6.9444444444444441E-3</v>
      </c>
      <c r="AY42" s="39">
        <v>5.2083333333333336E-2</v>
      </c>
      <c r="AZ42" s="40">
        <f>SUM(tbSabana2016[[#This Row],[Duración]])</f>
        <v>0.14930555555555555</v>
      </c>
      <c r="BA42" s="2">
        <v>0.3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0.8</v>
      </c>
      <c r="BH42" s="2">
        <v>0.5</v>
      </c>
      <c r="BI42" s="2">
        <v>0</v>
      </c>
      <c r="BJ42" s="2" t="s">
        <v>181</v>
      </c>
      <c r="BK42" s="2">
        <v>0</v>
      </c>
      <c r="BL42" s="2">
        <v>1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/>
      <c r="BT42" s="2">
        <v>8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3">
        <f t="shared" si="23"/>
        <v>8</v>
      </c>
      <c r="CO42" s="10">
        <f t="shared" si="6"/>
        <v>493</v>
      </c>
      <c r="CP42" s="10">
        <f t="shared" si="24"/>
        <v>8</v>
      </c>
      <c r="CQ42" s="24">
        <f>SUM(tbSabana2016[[#This Row],[Voluntarios]])</f>
        <v>0</v>
      </c>
      <c r="CR42" s="8">
        <f>tbSabana2016[[#This Row],[CONAFOR (Oficiales)]]*383</f>
        <v>3064</v>
      </c>
      <c r="CS42" s="8">
        <f>(tbSabana2016[[#This Row],[Total (Oficiales)]]-tbSabana2016[[#This Row],[CONAFOR (Oficiales)]])*217</f>
        <v>0</v>
      </c>
      <c r="CT42" s="8">
        <f>SUM(tbSabana2016[[#This Row],[Costo CONAFOR]:[Costo Otros]])</f>
        <v>3064</v>
      </c>
      <c r="CU42" s="8">
        <v>384.16</v>
      </c>
      <c r="CV42" s="8">
        <f t="shared" si="25"/>
        <v>3448.16</v>
      </c>
      <c r="CW42" s="2" t="s">
        <v>154</v>
      </c>
      <c r="CX42" s="2" t="s">
        <v>154</v>
      </c>
      <c r="CY42" s="69" t="s">
        <v>154</v>
      </c>
      <c r="CZ42" s="2" t="s">
        <v>154</v>
      </c>
      <c r="DA42" s="2" t="s">
        <v>172</v>
      </c>
      <c r="DB42" s="2" t="s">
        <v>155</v>
      </c>
      <c r="DC42" s="2" t="s">
        <v>168</v>
      </c>
      <c r="DD42" s="2" t="s">
        <v>169</v>
      </c>
      <c r="DE42" s="2" t="s">
        <v>158</v>
      </c>
      <c r="DF42" s="2" t="s">
        <v>159</v>
      </c>
      <c r="DG42" s="2" t="s">
        <v>160</v>
      </c>
      <c r="DH42" s="2">
        <v>0</v>
      </c>
      <c r="DI42" s="2">
        <v>0</v>
      </c>
      <c r="DJ42" s="2">
        <v>0.61</v>
      </c>
      <c r="DK42" s="2">
        <v>1</v>
      </c>
      <c r="DL42" s="2">
        <v>0</v>
      </c>
      <c r="DM42" s="2">
        <v>0</v>
      </c>
      <c r="DN42" s="2">
        <f t="shared" si="26"/>
        <v>1.6099999999999999</v>
      </c>
      <c r="DO42" s="29"/>
      <c r="DP42" s="30"/>
      <c r="DQ42" s="30"/>
      <c r="DR42" s="30"/>
      <c r="DS42" s="30"/>
      <c r="DT42" s="30"/>
      <c r="DU42" s="30"/>
      <c r="DV42" s="30"/>
    </row>
    <row r="43" spans="1:126" s="31" customFormat="1" ht="15.75" x14ac:dyDescent="0.25">
      <c r="A43" s="2" t="s">
        <v>402</v>
      </c>
      <c r="B43" s="25">
        <v>39</v>
      </c>
      <c r="C43" s="35">
        <v>43523</v>
      </c>
      <c r="D43" s="35">
        <v>43523</v>
      </c>
      <c r="E4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3" s="2">
        <v>33</v>
      </c>
      <c r="G43" s="2">
        <v>1</v>
      </c>
      <c r="H43" s="47">
        <f>WEEKNUM(tbSabana2016[[#This Row],[Fecha de Inicio]],15)</f>
        <v>9</v>
      </c>
      <c r="I43" s="36" t="str">
        <f>TEXT(tbSabana2016[[#This Row],[Fecha de Inicio]],"dddd")</f>
        <v>miércoles</v>
      </c>
      <c r="J43" s="36" t="str">
        <f>TEXT(tbSabana2016[[#This Row],[Fecha de Inicio]],"mmmm")</f>
        <v>febrero</v>
      </c>
      <c r="K43" s="37" t="s">
        <v>143</v>
      </c>
      <c r="L43" s="23">
        <v>7</v>
      </c>
      <c r="M43" s="38" t="s">
        <v>405</v>
      </c>
      <c r="N43" s="38" t="s">
        <v>406</v>
      </c>
      <c r="O43" s="38" t="s">
        <v>407</v>
      </c>
      <c r="P43" s="38"/>
      <c r="Q43" s="47">
        <v>18</v>
      </c>
      <c r="R43" s="102">
        <v>58</v>
      </c>
      <c r="S43" s="105">
        <v>57.3</v>
      </c>
      <c r="T43" s="102">
        <v>99</v>
      </c>
      <c r="U43" s="102">
        <v>12</v>
      </c>
      <c r="V43" s="105">
        <v>47.3</v>
      </c>
      <c r="W4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57.30'' W 99° 12' 47.30''</v>
      </c>
      <c r="X43" s="44">
        <v>1917</v>
      </c>
      <c r="Y43" s="19">
        <v>0</v>
      </c>
      <c r="Z43" s="19">
        <v>0</v>
      </c>
      <c r="AA43" s="19">
        <v>0</v>
      </c>
      <c r="AB43" s="19">
        <v>0.7</v>
      </c>
      <c r="AC43" s="19">
        <v>0</v>
      </c>
      <c r="AD43" s="19">
        <v>0</v>
      </c>
      <c r="AE43" s="19">
        <f>SUM(tbSabana2016[[#This Row],[Arbolado Adulto (HA)]:[Suelo Orgánico (HA)]])</f>
        <v>0.7</v>
      </c>
      <c r="AF43" s="9">
        <f>SUM(AF42,AE43)</f>
        <v>307.57000000000005</v>
      </c>
      <c r="AG43" s="9">
        <f>tbSabana2016[[#This Row],[Acumulado (HA)]]/tbSabana2016[[#This Row],[Incendio en el AÑO]]</f>
        <v>7.8864102564102581</v>
      </c>
      <c r="AH43" s="2" t="s">
        <v>147</v>
      </c>
      <c r="AI43" s="2" t="s">
        <v>165</v>
      </c>
      <c r="AJ43" s="2" t="s">
        <v>139</v>
      </c>
      <c r="AK43" s="2" t="s">
        <v>166</v>
      </c>
      <c r="AL43" s="2" t="s">
        <v>150</v>
      </c>
      <c r="AM43" s="2" t="s">
        <v>151</v>
      </c>
      <c r="AN43" s="32">
        <v>43523.381944444445</v>
      </c>
      <c r="AO43" s="32">
        <v>43523.385416666664</v>
      </c>
      <c r="AP43" s="32">
        <v>43523.388888888891</v>
      </c>
      <c r="AQ43" s="32">
        <v>43523.413194444445</v>
      </c>
      <c r="AR43" s="32">
        <v>43523.416666666664</v>
      </c>
      <c r="AS43" s="32"/>
      <c r="AT43" s="32">
        <v>43523.451388888891</v>
      </c>
      <c r="AU43" s="32">
        <v>43523.461805555555</v>
      </c>
      <c r="AV43" s="32">
        <v>43523.517361111109</v>
      </c>
      <c r="AW43" s="40">
        <v>7.9861111111111105E-2</v>
      </c>
      <c r="AX43" s="39">
        <v>3.472222222222222E-3</v>
      </c>
      <c r="AY43" s="39">
        <v>2.7777777777777776E-2</v>
      </c>
      <c r="AZ43" s="40">
        <f>SUM(tbSabana2016[[#This Row],[Duración]])</f>
        <v>7.9861111111111105E-2</v>
      </c>
      <c r="BA43" s="2">
        <v>0.3</v>
      </c>
      <c r="BB43" s="2">
        <v>0.25</v>
      </c>
      <c r="BC43" s="2">
        <v>0</v>
      </c>
      <c r="BD43" s="2">
        <v>0</v>
      </c>
      <c r="BE43" s="2">
        <v>0.2</v>
      </c>
      <c r="BF43" s="2">
        <v>0</v>
      </c>
      <c r="BG43" s="2">
        <v>0.1</v>
      </c>
      <c r="BH43" s="2">
        <v>0.28000000000000003</v>
      </c>
      <c r="BI43" s="2">
        <v>0</v>
      </c>
      <c r="BJ43" s="2" t="s">
        <v>176</v>
      </c>
      <c r="BK43" s="2">
        <v>1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/>
      <c r="BT43" s="2">
        <v>8</v>
      </c>
      <c r="BU43" s="2">
        <v>0</v>
      </c>
      <c r="BV43" s="2">
        <v>0</v>
      </c>
      <c r="BW43" s="2">
        <v>7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3">
        <f t="shared" ref="CN43:CN49" si="27">SUM(BT43:CM43)</f>
        <v>15</v>
      </c>
      <c r="CO43" s="10">
        <f t="shared" si="6"/>
        <v>508</v>
      </c>
      <c r="CP43" s="10">
        <f t="shared" ref="CP43:CP49" si="28">SUM(BT43:CG43,CI43:CM43)</f>
        <v>15</v>
      </c>
      <c r="CQ43" s="24">
        <f>SUM(tbSabana2016[[#This Row],[Voluntarios]])</f>
        <v>0</v>
      </c>
      <c r="CR43" s="8">
        <f>tbSabana2016[[#This Row],[CONAFOR (Oficiales)]]*383</f>
        <v>3064</v>
      </c>
      <c r="CS43" s="8">
        <f>(tbSabana2016[[#This Row],[Total (Oficiales)]]-tbSabana2016[[#This Row],[CONAFOR (Oficiales)]])*217</f>
        <v>1519</v>
      </c>
      <c r="CT43" s="8">
        <f>SUM(tbSabana2016[[#This Row],[Costo CONAFOR]:[Costo Otros]])</f>
        <v>4583</v>
      </c>
      <c r="CU43" s="8">
        <v>100</v>
      </c>
      <c r="CV43" s="8">
        <f t="shared" ref="CV43:CV49" si="29">SUM(CT43:CU43)</f>
        <v>4683</v>
      </c>
      <c r="CW43" s="2" t="s">
        <v>154</v>
      </c>
      <c r="CX43" s="2" t="s">
        <v>154</v>
      </c>
      <c r="CY43" s="69" t="s">
        <v>154</v>
      </c>
      <c r="CZ43" s="2" t="s">
        <v>154</v>
      </c>
      <c r="DA43" s="2" t="s">
        <v>172</v>
      </c>
      <c r="DB43" s="2" t="s">
        <v>155</v>
      </c>
      <c r="DC43" s="2" t="s">
        <v>468</v>
      </c>
      <c r="DD43" s="2" t="s">
        <v>311</v>
      </c>
      <c r="DE43" s="2" t="s">
        <v>158</v>
      </c>
      <c r="DF43" s="2" t="s">
        <v>159</v>
      </c>
      <c r="DG43" s="2" t="s">
        <v>160</v>
      </c>
      <c r="DH43" s="2">
        <v>0</v>
      </c>
      <c r="DI43" s="2">
        <v>0</v>
      </c>
      <c r="DJ43" s="2">
        <v>0</v>
      </c>
      <c r="DK43" s="2">
        <v>0.7</v>
      </c>
      <c r="DL43" s="2">
        <v>0</v>
      </c>
      <c r="DM43" s="2">
        <v>0</v>
      </c>
      <c r="DN43" s="2">
        <f t="shared" ref="DN43:DN49" si="30">SUM(DH43:DM43)</f>
        <v>0.7</v>
      </c>
      <c r="DO43" s="29"/>
      <c r="DP43" s="30"/>
      <c r="DQ43" s="30"/>
      <c r="DR43" s="30"/>
      <c r="DS43" s="30"/>
      <c r="DT43" s="30"/>
      <c r="DU43" s="30"/>
      <c r="DV43" s="30"/>
    </row>
    <row r="44" spans="1:126" s="31" customFormat="1" ht="15.75" x14ac:dyDescent="0.25">
      <c r="A44" s="2" t="s">
        <v>403</v>
      </c>
      <c r="B44" s="25">
        <v>40</v>
      </c>
      <c r="C44" s="35">
        <v>43523</v>
      </c>
      <c r="D44" s="35">
        <v>43523</v>
      </c>
      <c r="E4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4" s="2">
        <v>34</v>
      </c>
      <c r="G44" s="2">
        <v>1</v>
      </c>
      <c r="H44" s="47">
        <f>WEEKNUM(tbSabana2016[[#This Row],[Fecha de Inicio]],15)</f>
        <v>9</v>
      </c>
      <c r="I44" s="36" t="str">
        <f>TEXT(tbSabana2016[[#This Row],[Fecha de Inicio]],"dddd")</f>
        <v>miércoles</v>
      </c>
      <c r="J44" s="36" t="str">
        <f>TEXT(tbSabana2016[[#This Row],[Fecha de Inicio]],"mmmm")</f>
        <v>febrero</v>
      </c>
      <c r="K44" s="37" t="s">
        <v>143</v>
      </c>
      <c r="L44" s="23">
        <v>20</v>
      </c>
      <c r="M44" s="38" t="s">
        <v>162</v>
      </c>
      <c r="N44" s="38" t="s">
        <v>163</v>
      </c>
      <c r="O44" s="38" t="s">
        <v>408</v>
      </c>
      <c r="P44" s="38"/>
      <c r="Q44" s="47">
        <v>18</v>
      </c>
      <c r="R44" s="102">
        <v>58</v>
      </c>
      <c r="S44" s="105">
        <v>8.81</v>
      </c>
      <c r="T44" s="102">
        <v>99</v>
      </c>
      <c r="U44" s="102">
        <v>10</v>
      </c>
      <c r="V44" s="105">
        <v>45.65</v>
      </c>
      <c r="W4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08.81'' W 99° 10' 45.65''</v>
      </c>
      <c r="X44" s="44">
        <v>1678</v>
      </c>
      <c r="Y44" s="19">
        <v>0</v>
      </c>
      <c r="Z44" s="19">
        <v>0</v>
      </c>
      <c r="AA44" s="19">
        <v>0</v>
      </c>
      <c r="AB44" s="19">
        <v>3.05</v>
      </c>
      <c r="AC44" s="19">
        <v>0</v>
      </c>
      <c r="AD44" s="19">
        <v>0</v>
      </c>
      <c r="AE44" s="19">
        <f>SUM(tbSabana2016[[#This Row],[Arbolado Adulto (HA)]:[Suelo Orgánico (HA)]])</f>
        <v>3.05</v>
      </c>
      <c r="AF44" s="9">
        <f t="shared" ref="AF44:AF49" si="31">SUM(AF43,AE44)</f>
        <v>310.62000000000006</v>
      </c>
      <c r="AG44" s="9">
        <f>tbSabana2016[[#This Row],[Acumulado (HA)]]/tbSabana2016[[#This Row],[Incendio en el AÑO]]</f>
        <v>7.7655000000000012</v>
      </c>
      <c r="AH44" s="2" t="s">
        <v>147</v>
      </c>
      <c r="AI44" s="2" t="s">
        <v>165</v>
      </c>
      <c r="AJ44" s="2" t="s">
        <v>135</v>
      </c>
      <c r="AK44" s="2" t="s">
        <v>175</v>
      </c>
      <c r="AL44" s="2" t="s">
        <v>150</v>
      </c>
      <c r="AM44" s="2" t="s">
        <v>151</v>
      </c>
      <c r="AN44" s="32">
        <v>43523.545138888891</v>
      </c>
      <c r="AO44" s="32">
        <v>43523.548611111109</v>
      </c>
      <c r="AP44" s="32">
        <v>43523.552083333336</v>
      </c>
      <c r="AQ44" s="32">
        <v>43523.572916666664</v>
      </c>
      <c r="AR44" s="32">
        <v>43523.576388888891</v>
      </c>
      <c r="AS44" s="32"/>
      <c r="AT44" s="32">
        <v>43523.625</v>
      </c>
      <c r="AU44" s="32">
        <v>43523.67083333333</v>
      </c>
      <c r="AV44" s="32"/>
      <c r="AW44" s="40">
        <v>0.12569444444444444</v>
      </c>
      <c r="AX44" s="39">
        <v>3.472222222222222E-3</v>
      </c>
      <c r="AY44" s="39">
        <v>2.4305555555555556E-2</v>
      </c>
      <c r="AZ44" s="40">
        <f>SUM(tbSabana2016[[#This Row],[Duración]])</f>
        <v>0.12569444444444444</v>
      </c>
      <c r="BA44" s="2">
        <v>0.3</v>
      </c>
      <c r="BB44" s="2">
        <v>0.05</v>
      </c>
      <c r="BC44" s="2">
        <v>0</v>
      </c>
      <c r="BD44" s="2">
        <v>0</v>
      </c>
      <c r="BE44" s="2">
        <v>0.1</v>
      </c>
      <c r="BF44" s="2">
        <v>0</v>
      </c>
      <c r="BG44" s="2">
        <v>0.2</v>
      </c>
      <c r="BH44" s="2">
        <v>0.6</v>
      </c>
      <c r="BI44" s="2">
        <v>0</v>
      </c>
      <c r="BJ44" s="2" t="s">
        <v>176</v>
      </c>
      <c r="BK44" s="2">
        <v>1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/>
      <c r="BT44" s="2">
        <v>8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3">
        <f t="shared" si="27"/>
        <v>8</v>
      </c>
      <c r="CO44" s="10">
        <f t="shared" si="6"/>
        <v>516</v>
      </c>
      <c r="CP44" s="10">
        <f t="shared" si="28"/>
        <v>8</v>
      </c>
      <c r="CQ44" s="24">
        <f>SUM(tbSabana2016[[#This Row],[Voluntarios]])</f>
        <v>0</v>
      </c>
      <c r="CR44" s="8">
        <f>tbSabana2016[[#This Row],[CONAFOR (Oficiales)]]*383</f>
        <v>3064</v>
      </c>
      <c r="CS44" s="8">
        <f>(tbSabana2016[[#This Row],[Total (Oficiales)]]-tbSabana2016[[#This Row],[CONAFOR (Oficiales)]])*217</f>
        <v>0</v>
      </c>
      <c r="CT44" s="8">
        <f>SUM(tbSabana2016[[#This Row],[Costo CONAFOR]:[Costo Otros]])</f>
        <v>3064</v>
      </c>
      <c r="CU44" s="8">
        <v>152</v>
      </c>
      <c r="CV44" s="8">
        <f t="shared" si="29"/>
        <v>3216</v>
      </c>
      <c r="CW44" s="2" t="s">
        <v>154</v>
      </c>
      <c r="CX44" s="2" t="s">
        <v>154</v>
      </c>
      <c r="CY44" s="69" t="s">
        <v>154</v>
      </c>
      <c r="CZ44" s="2" t="s">
        <v>154</v>
      </c>
      <c r="DA44" s="2" t="s">
        <v>172</v>
      </c>
      <c r="DB44" s="2" t="s">
        <v>155</v>
      </c>
      <c r="DC44" s="2" t="s">
        <v>168</v>
      </c>
      <c r="DD44" s="2" t="s">
        <v>169</v>
      </c>
      <c r="DE44" s="2" t="s">
        <v>170</v>
      </c>
      <c r="DF44" s="2" t="s">
        <v>159</v>
      </c>
      <c r="DG44" s="2" t="s">
        <v>171</v>
      </c>
      <c r="DH44" s="2">
        <v>0</v>
      </c>
      <c r="DI44" s="2">
        <v>0</v>
      </c>
      <c r="DJ44" s="2">
        <v>0</v>
      </c>
      <c r="DK44" s="2">
        <v>3.05</v>
      </c>
      <c r="DL44" s="2">
        <v>0</v>
      </c>
      <c r="DM44" s="2">
        <v>0</v>
      </c>
      <c r="DN44" s="2">
        <f t="shared" si="30"/>
        <v>3.05</v>
      </c>
      <c r="DO44" s="29"/>
      <c r="DP44" s="30"/>
      <c r="DQ44" s="30"/>
      <c r="DR44" s="30"/>
      <c r="DS44" s="30"/>
      <c r="DT44" s="30"/>
      <c r="DU44" s="30"/>
      <c r="DV44" s="30"/>
    </row>
    <row r="45" spans="1:126" s="31" customFormat="1" ht="15.75" x14ac:dyDescent="0.25">
      <c r="A45" s="2" t="s">
        <v>404</v>
      </c>
      <c r="B45" s="25">
        <v>41</v>
      </c>
      <c r="C45" s="35">
        <v>43523</v>
      </c>
      <c r="D45" s="35">
        <v>43523</v>
      </c>
      <c r="E4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5" s="2">
        <v>35</v>
      </c>
      <c r="G45" s="2">
        <v>1</v>
      </c>
      <c r="H45" s="47">
        <f>WEEKNUM(tbSabana2016[[#This Row],[Fecha de Inicio]],15)</f>
        <v>9</v>
      </c>
      <c r="I45" s="36" t="str">
        <f>TEXT(tbSabana2016[[#This Row],[Fecha de Inicio]],"dddd")</f>
        <v>miércoles</v>
      </c>
      <c r="J45" s="36" t="str">
        <f>TEXT(tbSabana2016[[#This Row],[Fecha de Inicio]],"mmmm")</f>
        <v>febrero</v>
      </c>
      <c r="K45" s="37" t="s">
        <v>143</v>
      </c>
      <c r="L45" s="23">
        <v>20</v>
      </c>
      <c r="M45" s="38" t="s">
        <v>162</v>
      </c>
      <c r="N45" s="38" t="s">
        <v>163</v>
      </c>
      <c r="O45" s="38" t="s">
        <v>409</v>
      </c>
      <c r="P45" s="38"/>
      <c r="Q45" s="47">
        <v>18</v>
      </c>
      <c r="R45" s="102">
        <v>56</v>
      </c>
      <c r="S45" s="105">
        <v>55.63</v>
      </c>
      <c r="T45" s="102">
        <v>99</v>
      </c>
      <c r="U45" s="102">
        <v>10</v>
      </c>
      <c r="V45" s="105">
        <v>29</v>
      </c>
      <c r="W4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55.63'' W 99° 10' 29.00''</v>
      </c>
      <c r="X45" s="44">
        <v>1569</v>
      </c>
      <c r="Y45" s="19">
        <v>0</v>
      </c>
      <c r="Z45" s="19">
        <v>0</v>
      </c>
      <c r="AA45" s="19">
        <v>1</v>
      </c>
      <c r="AB45" s="19">
        <v>5</v>
      </c>
      <c r="AC45" s="19">
        <v>0</v>
      </c>
      <c r="AD45" s="19">
        <v>0</v>
      </c>
      <c r="AE45" s="19">
        <f>SUM(tbSabana2016[[#This Row],[Arbolado Adulto (HA)]:[Suelo Orgánico (HA)]])</f>
        <v>6</v>
      </c>
      <c r="AF45" s="9">
        <f t="shared" si="31"/>
        <v>316.62000000000006</v>
      </c>
      <c r="AG45" s="9">
        <f>tbSabana2016[[#This Row],[Acumulado (HA)]]/tbSabana2016[[#This Row],[Incendio en el AÑO]]</f>
        <v>7.722439024390245</v>
      </c>
      <c r="AH45" s="2" t="s">
        <v>147</v>
      </c>
      <c r="AI45" s="2" t="s">
        <v>165</v>
      </c>
      <c r="AJ45" s="2" t="s">
        <v>135</v>
      </c>
      <c r="AK45" s="2" t="s">
        <v>175</v>
      </c>
      <c r="AL45" s="2" t="s">
        <v>150</v>
      </c>
      <c r="AM45" s="2" t="s">
        <v>151</v>
      </c>
      <c r="AN45" s="32">
        <v>43523.659722222219</v>
      </c>
      <c r="AO45" s="32">
        <v>43523.666666666664</v>
      </c>
      <c r="AP45" s="32">
        <v>43523.67083333333</v>
      </c>
      <c r="AQ45" s="32">
        <v>43523.694444444445</v>
      </c>
      <c r="AR45" s="32">
        <v>43523.697916666664</v>
      </c>
      <c r="AS45" s="32"/>
      <c r="AT45" s="32">
        <v>43523.763888888891</v>
      </c>
      <c r="AU45" s="32">
        <v>43523.798611111109</v>
      </c>
      <c r="AV45" s="32">
        <v>43523.875</v>
      </c>
      <c r="AW45" s="40">
        <v>0.1388888888888889</v>
      </c>
      <c r="AX45" s="39">
        <v>6.9444444444444441E-3</v>
      </c>
      <c r="AY45" s="39">
        <v>2.7777777777777776E-2</v>
      </c>
      <c r="AZ45" s="40">
        <f>SUM(tbSabana2016[[#This Row],[Duración]])</f>
        <v>0.1388888888888889</v>
      </c>
      <c r="BA45" s="2">
        <v>0.6</v>
      </c>
      <c r="BB45" s="2">
        <v>0.5</v>
      </c>
      <c r="BC45" s="2">
        <v>0</v>
      </c>
      <c r="BD45" s="2">
        <v>0</v>
      </c>
      <c r="BE45" s="2">
        <v>0.5</v>
      </c>
      <c r="BF45" s="2">
        <v>0</v>
      </c>
      <c r="BG45" s="2">
        <v>0.7</v>
      </c>
      <c r="BH45" s="2">
        <v>1.8</v>
      </c>
      <c r="BI45" s="2">
        <v>0</v>
      </c>
      <c r="BJ45" s="2" t="s">
        <v>176</v>
      </c>
      <c r="BK45" s="2">
        <v>1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/>
      <c r="BT45" s="2">
        <v>8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3">
        <f t="shared" si="27"/>
        <v>8</v>
      </c>
      <c r="CO45" s="10">
        <f t="shared" si="6"/>
        <v>524</v>
      </c>
      <c r="CP45" s="10">
        <f t="shared" si="28"/>
        <v>8</v>
      </c>
      <c r="CQ45" s="24">
        <f>SUM(tbSabana2016[[#This Row],[Voluntarios]])</f>
        <v>0</v>
      </c>
      <c r="CR45" s="8">
        <f>tbSabana2016[[#This Row],[CONAFOR (Oficiales)]]*383</f>
        <v>3064</v>
      </c>
      <c r="CS45" s="8">
        <f>(tbSabana2016[[#This Row],[Total (Oficiales)]]-tbSabana2016[[#This Row],[CONAFOR (Oficiales)]])*217</f>
        <v>0</v>
      </c>
      <c r="CT45" s="8">
        <f>SUM(tbSabana2016[[#This Row],[Costo CONAFOR]:[Costo Otros]])</f>
        <v>3064</v>
      </c>
      <c r="CU45" s="8">
        <v>133</v>
      </c>
      <c r="CV45" s="8">
        <f t="shared" si="29"/>
        <v>3197</v>
      </c>
      <c r="CW45" s="2" t="s">
        <v>154</v>
      </c>
      <c r="CX45" s="2" t="s">
        <v>154</v>
      </c>
      <c r="CY45" s="69" t="s">
        <v>154</v>
      </c>
      <c r="CZ45" s="2" t="s">
        <v>154</v>
      </c>
      <c r="DA45" s="2" t="s">
        <v>172</v>
      </c>
      <c r="DB45" s="2" t="s">
        <v>155</v>
      </c>
      <c r="DC45" s="2" t="s">
        <v>168</v>
      </c>
      <c r="DD45" s="2" t="s">
        <v>169</v>
      </c>
      <c r="DE45" s="2" t="s">
        <v>170</v>
      </c>
      <c r="DF45" s="2" t="s">
        <v>159</v>
      </c>
      <c r="DG45" s="2" t="s">
        <v>171</v>
      </c>
      <c r="DH45" s="2">
        <v>0</v>
      </c>
      <c r="DI45" s="2">
        <v>0</v>
      </c>
      <c r="DJ45" s="2">
        <v>1</v>
      </c>
      <c r="DK45" s="2">
        <v>5</v>
      </c>
      <c r="DL45" s="2">
        <v>0</v>
      </c>
      <c r="DM45" s="2">
        <v>0</v>
      </c>
      <c r="DN45" s="2">
        <f t="shared" si="30"/>
        <v>6</v>
      </c>
      <c r="DO45" s="29"/>
      <c r="DP45" s="30"/>
      <c r="DQ45" s="30"/>
      <c r="DR45" s="30"/>
      <c r="DS45" s="30"/>
      <c r="DT45" s="30"/>
      <c r="DU45" s="30"/>
      <c r="DV45" s="30"/>
    </row>
    <row r="46" spans="1:126" s="31" customFormat="1" ht="15.75" x14ac:dyDescent="0.25">
      <c r="A46" s="2" t="s">
        <v>410</v>
      </c>
      <c r="B46" s="25">
        <v>42</v>
      </c>
      <c r="C46" s="35">
        <v>43523</v>
      </c>
      <c r="D46" s="35">
        <v>43523</v>
      </c>
      <c r="E4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6" s="2">
        <v>36</v>
      </c>
      <c r="G46" s="2">
        <v>1</v>
      </c>
      <c r="H46" s="47">
        <f>WEEKNUM(tbSabana2016[[#This Row],[Fecha de Inicio]],15)</f>
        <v>9</v>
      </c>
      <c r="I46" s="36" t="str">
        <f>TEXT(tbSabana2016[[#This Row],[Fecha de Inicio]],"dddd")</f>
        <v>miércoles</v>
      </c>
      <c r="J46" s="36" t="str">
        <f>TEXT(tbSabana2016[[#This Row],[Fecha de Inicio]],"mmmm")</f>
        <v>febrero</v>
      </c>
      <c r="K46" s="37" t="s">
        <v>143</v>
      </c>
      <c r="L46" s="23">
        <v>17</v>
      </c>
      <c r="M46" s="38" t="s">
        <v>438</v>
      </c>
      <c r="N46" s="38" t="s">
        <v>438</v>
      </c>
      <c r="O46" s="38" t="s">
        <v>420</v>
      </c>
      <c r="P46" s="38" t="s">
        <v>421</v>
      </c>
      <c r="Q46" s="47">
        <v>18</v>
      </c>
      <c r="R46" s="102">
        <v>40</v>
      </c>
      <c r="S46" s="105">
        <v>26.6</v>
      </c>
      <c r="T46" s="102">
        <v>99</v>
      </c>
      <c r="U46" s="102">
        <v>21</v>
      </c>
      <c r="V46" s="105">
        <v>13</v>
      </c>
      <c r="W4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40' 26.60'' W 99° 21' 13.00''</v>
      </c>
      <c r="X46" s="44">
        <v>962</v>
      </c>
      <c r="Y46" s="19">
        <v>0</v>
      </c>
      <c r="Z46" s="19">
        <v>0</v>
      </c>
      <c r="AA46" s="19">
        <v>5</v>
      </c>
      <c r="AB46" s="19">
        <v>6.35</v>
      </c>
      <c r="AC46" s="19">
        <v>0</v>
      </c>
      <c r="AD46" s="19">
        <v>0</v>
      </c>
      <c r="AE46" s="19">
        <f>SUM(tbSabana2016[[#This Row],[Arbolado Adulto (HA)]:[Suelo Orgánico (HA)]])</f>
        <v>11.35</v>
      </c>
      <c r="AF46" s="9">
        <f t="shared" si="31"/>
        <v>327.97000000000008</v>
      </c>
      <c r="AG46" s="9">
        <f>tbSabana2016[[#This Row],[Acumulado (HA)]]/tbSabana2016[[#This Row],[Incendio en el AÑO]]</f>
        <v>7.8088095238095256</v>
      </c>
      <c r="AH46" s="2" t="s">
        <v>147</v>
      </c>
      <c r="AI46" s="2" t="s">
        <v>283</v>
      </c>
      <c r="AJ46" s="2" t="s">
        <v>134</v>
      </c>
      <c r="AK46" s="2" t="s">
        <v>200</v>
      </c>
      <c r="AL46" s="2" t="s">
        <v>201</v>
      </c>
      <c r="AM46" s="2" t="s">
        <v>151</v>
      </c>
      <c r="AN46" s="32">
        <v>43523.527777777781</v>
      </c>
      <c r="AO46" s="32">
        <v>43523.531944444447</v>
      </c>
      <c r="AP46" s="32">
        <v>43523.534722222219</v>
      </c>
      <c r="AQ46" s="32">
        <v>43523.6</v>
      </c>
      <c r="AR46" s="32">
        <v>43523.602777777778</v>
      </c>
      <c r="AS46" s="32"/>
      <c r="AT46" s="32">
        <v>43523.708333333336</v>
      </c>
      <c r="AU46" s="32">
        <v>43523.736111111109</v>
      </c>
      <c r="AV46" s="32">
        <v>43523.8125</v>
      </c>
      <c r="AW46" s="40">
        <v>0.20833333333333334</v>
      </c>
      <c r="AX46" s="39">
        <v>4.1666666666666666E-3</v>
      </c>
      <c r="AY46" s="39">
        <v>6.805555555555555E-2</v>
      </c>
      <c r="AZ46" s="40">
        <f>SUM(tbSabana2016[[#This Row],[Duración]])</f>
        <v>0.20833333333333334</v>
      </c>
      <c r="BA46" s="2">
        <v>0.9</v>
      </c>
      <c r="BB46" s="2">
        <v>1</v>
      </c>
      <c r="BC46" s="2">
        <v>0.8</v>
      </c>
      <c r="BD46" s="2">
        <v>0</v>
      </c>
      <c r="BE46" s="2">
        <v>0.5</v>
      </c>
      <c r="BF46" s="2">
        <v>0</v>
      </c>
      <c r="BG46" s="2">
        <v>0</v>
      </c>
      <c r="BH46" s="2">
        <v>1.5</v>
      </c>
      <c r="BI46" s="2">
        <v>0</v>
      </c>
      <c r="BJ46" s="2" t="s">
        <v>242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 t="s">
        <v>422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14</v>
      </c>
      <c r="CE46" s="2">
        <v>0</v>
      </c>
      <c r="CF46" s="2">
        <v>0</v>
      </c>
      <c r="CG46" s="2">
        <v>6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3">
        <f t="shared" si="27"/>
        <v>20</v>
      </c>
      <c r="CO46" s="10">
        <f t="shared" si="6"/>
        <v>544</v>
      </c>
      <c r="CP46" s="10">
        <f t="shared" si="28"/>
        <v>20</v>
      </c>
      <c r="CQ46" s="24">
        <f>SUM(tbSabana2016[[#This Row],[Voluntarios]])</f>
        <v>0</v>
      </c>
      <c r="CR46" s="8">
        <f>tbSabana2016[[#This Row],[CONAFOR (Oficiales)]]*383</f>
        <v>0</v>
      </c>
      <c r="CS46" s="8">
        <f>(tbSabana2016[[#This Row],[Total (Oficiales)]]-tbSabana2016[[#This Row],[CONAFOR (Oficiales)]])*217</f>
        <v>4340</v>
      </c>
      <c r="CT46" s="8">
        <f>SUM(tbSabana2016[[#This Row],[Costo CONAFOR]:[Costo Otros]])</f>
        <v>4340</v>
      </c>
      <c r="CU46" s="8">
        <v>665</v>
      </c>
      <c r="CV46" s="8">
        <f t="shared" si="29"/>
        <v>5005</v>
      </c>
      <c r="CW46" s="2" t="s">
        <v>154</v>
      </c>
      <c r="CX46" s="2" t="s">
        <v>154</v>
      </c>
      <c r="CY46" s="69" t="s">
        <v>154</v>
      </c>
      <c r="CZ46" s="2" t="s">
        <v>154</v>
      </c>
      <c r="DA46" s="2" t="s">
        <v>172</v>
      </c>
      <c r="DB46" s="2" t="s">
        <v>155</v>
      </c>
      <c r="DC46" s="2" t="s">
        <v>168</v>
      </c>
      <c r="DD46" s="2" t="s">
        <v>169</v>
      </c>
      <c r="DE46" s="2" t="s">
        <v>202</v>
      </c>
      <c r="DF46" s="2" t="s">
        <v>159</v>
      </c>
      <c r="DG46" s="2" t="s">
        <v>203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f t="shared" si="30"/>
        <v>0</v>
      </c>
      <c r="DO46" s="29"/>
      <c r="DP46" s="30"/>
      <c r="DQ46" s="30"/>
      <c r="DR46" s="30"/>
      <c r="DS46" s="30"/>
      <c r="DT46" s="30"/>
      <c r="DU46" s="30"/>
      <c r="DV46" s="30"/>
    </row>
    <row r="47" spans="1:126" s="31" customFormat="1" ht="15.75" x14ac:dyDescent="0.25">
      <c r="A47" s="2" t="s">
        <v>411</v>
      </c>
      <c r="B47" s="25">
        <v>43</v>
      </c>
      <c r="C47" s="35">
        <v>43524</v>
      </c>
      <c r="D47" s="35">
        <v>43524</v>
      </c>
      <c r="E4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7" s="2">
        <v>37</v>
      </c>
      <c r="G47" s="2">
        <v>1</v>
      </c>
      <c r="H47" s="47">
        <f>WEEKNUM(tbSabana2016[[#This Row],[Fecha de Inicio]],15)</f>
        <v>9</v>
      </c>
      <c r="I47" s="36" t="str">
        <f>TEXT(tbSabana2016[[#This Row],[Fecha de Inicio]],"dddd")</f>
        <v>jueves</v>
      </c>
      <c r="J47" s="36" t="str">
        <f>TEXT(tbSabana2016[[#This Row],[Fecha de Inicio]],"mmmm")</f>
        <v>febrero</v>
      </c>
      <c r="K47" s="37" t="s">
        <v>143</v>
      </c>
      <c r="L47" s="23">
        <v>20</v>
      </c>
      <c r="M47" s="38" t="s">
        <v>162</v>
      </c>
      <c r="N47" s="38" t="s">
        <v>163</v>
      </c>
      <c r="O47" s="38" t="s">
        <v>414</v>
      </c>
      <c r="P47" s="38" t="s">
        <v>174</v>
      </c>
      <c r="Q47" s="47">
        <v>18</v>
      </c>
      <c r="R47" s="102">
        <v>57</v>
      </c>
      <c r="S47" s="105">
        <v>54.8</v>
      </c>
      <c r="T47" s="102">
        <v>99</v>
      </c>
      <c r="U47" s="102">
        <v>10</v>
      </c>
      <c r="V47" s="105">
        <v>5.3</v>
      </c>
      <c r="W4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54.80'' W 99° 10' 05.30''</v>
      </c>
      <c r="X47" s="44">
        <v>1638</v>
      </c>
      <c r="Y47" s="19">
        <v>0</v>
      </c>
      <c r="Z47" s="19">
        <v>0</v>
      </c>
      <c r="AA47" s="19">
        <v>0.9</v>
      </c>
      <c r="AB47" s="19">
        <v>0</v>
      </c>
      <c r="AC47" s="19">
        <v>0</v>
      </c>
      <c r="AD47" s="19">
        <v>0</v>
      </c>
      <c r="AE47" s="19">
        <f>SUM(tbSabana2016[[#This Row],[Arbolado Adulto (HA)]:[Suelo Orgánico (HA)]])</f>
        <v>0.9</v>
      </c>
      <c r="AF47" s="9">
        <f t="shared" si="31"/>
        <v>328.87000000000006</v>
      </c>
      <c r="AG47" s="9">
        <f>tbSabana2016[[#This Row],[Acumulado (HA)]]/tbSabana2016[[#This Row],[Incendio en el AÑO]]</f>
        <v>7.6481395348837227</v>
      </c>
      <c r="AH47" s="2" t="s">
        <v>147</v>
      </c>
      <c r="AI47" s="2" t="s">
        <v>165</v>
      </c>
      <c r="AJ47" s="2" t="s">
        <v>135</v>
      </c>
      <c r="AK47" s="2" t="s">
        <v>175</v>
      </c>
      <c r="AL47" s="2" t="s">
        <v>150</v>
      </c>
      <c r="AM47" s="2" t="s">
        <v>151</v>
      </c>
      <c r="AN47" s="32">
        <v>43524.607638888891</v>
      </c>
      <c r="AO47" s="32">
        <v>43524.611111111109</v>
      </c>
      <c r="AP47" s="32">
        <v>43524.614583333336</v>
      </c>
      <c r="AQ47" s="32">
        <v>43524.659722222219</v>
      </c>
      <c r="AR47" s="32">
        <v>43524.663194444445</v>
      </c>
      <c r="AS47" s="32"/>
      <c r="AT47" s="32">
        <v>43524.666666666664</v>
      </c>
      <c r="AU47" s="32">
        <v>43524.697916666664</v>
      </c>
      <c r="AV47" s="32"/>
      <c r="AW47" s="40">
        <v>9.0277777777777776E-2</v>
      </c>
      <c r="AX47" s="39">
        <v>3.472222222222222E-3</v>
      </c>
      <c r="AY47" s="39">
        <v>4.8611111111111112E-2</v>
      </c>
      <c r="AZ47" s="40">
        <f>SUM(tbSabana2016[[#This Row],[Duración]])</f>
        <v>9.0277777777777776E-2</v>
      </c>
      <c r="BA47" s="2">
        <v>0.03</v>
      </c>
      <c r="BB47" s="2">
        <v>0.04</v>
      </c>
      <c r="BC47" s="2">
        <v>0</v>
      </c>
      <c r="BD47" s="2">
        <v>0</v>
      </c>
      <c r="BE47" s="2">
        <v>0.3</v>
      </c>
      <c r="BF47" s="2">
        <v>0</v>
      </c>
      <c r="BG47" s="2">
        <v>0</v>
      </c>
      <c r="BH47" s="2">
        <v>0.1</v>
      </c>
      <c r="BI47" s="2">
        <v>0</v>
      </c>
      <c r="BJ47" s="2" t="s">
        <v>329</v>
      </c>
      <c r="BK47" s="2">
        <v>0</v>
      </c>
      <c r="BL47" s="2">
        <v>0</v>
      </c>
      <c r="BM47" s="2">
        <v>0</v>
      </c>
      <c r="BN47" s="2">
        <v>1</v>
      </c>
      <c r="BO47" s="2">
        <v>0</v>
      </c>
      <c r="BP47" s="2">
        <v>0</v>
      </c>
      <c r="BQ47" s="2">
        <v>0</v>
      </c>
      <c r="BR47" s="2">
        <v>0</v>
      </c>
      <c r="BS47" s="2"/>
      <c r="BT47" s="2">
        <v>8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3">
        <f t="shared" si="27"/>
        <v>8</v>
      </c>
      <c r="CO47" s="10">
        <f t="shared" si="6"/>
        <v>552</v>
      </c>
      <c r="CP47" s="10">
        <f t="shared" si="28"/>
        <v>8</v>
      </c>
      <c r="CQ47" s="24">
        <f>SUM(tbSabana2016[[#This Row],[Voluntarios]])</f>
        <v>0</v>
      </c>
      <c r="CR47" s="8">
        <f>tbSabana2016[[#This Row],[CONAFOR (Oficiales)]]*383</f>
        <v>3064</v>
      </c>
      <c r="CS47" s="8">
        <f>(tbSabana2016[[#This Row],[Total (Oficiales)]]-tbSabana2016[[#This Row],[CONAFOR (Oficiales)]])*217</f>
        <v>0</v>
      </c>
      <c r="CT47" s="8">
        <f>SUM(tbSabana2016[[#This Row],[Costo CONAFOR]:[Costo Otros]])</f>
        <v>3064</v>
      </c>
      <c r="CU47" s="8">
        <v>171</v>
      </c>
      <c r="CV47" s="8">
        <f t="shared" si="29"/>
        <v>3235</v>
      </c>
      <c r="CW47" s="2" t="s">
        <v>154</v>
      </c>
      <c r="CX47" s="2" t="s">
        <v>154</v>
      </c>
      <c r="CY47" s="69" t="s">
        <v>154</v>
      </c>
      <c r="CZ47" s="2" t="s">
        <v>154</v>
      </c>
      <c r="DA47" s="2" t="s">
        <v>172</v>
      </c>
      <c r="DB47" s="2" t="s">
        <v>155</v>
      </c>
      <c r="DC47" s="2" t="s">
        <v>168</v>
      </c>
      <c r="DD47" s="2" t="s">
        <v>169</v>
      </c>
      <c r="DE47" s="2" t="s">
        <v>170</v>
      </c>
      <c r="DF47" s="2" t="s">
        <v>159</v>
      </c>
      <c r="DG47" s="2" t="s">
        <v>171</v>
      </c>
      <c r="DH47" s="2">
        <v>0</v>
      </c>
      <c r="DI47" s="2">
        <v>0</v>
      </c>
      <c r="DJ47" s="2">
        <v>0.9</v>
      </c>
      <c r="DK47" s="2">
        <v>0</v>
      </c>
      <c r="DL47" s="2">
        <v>0</v>
      </c>
      <c r="DM47" s="2">
        <v>0</v>
      </c>
      <c r="DN47" s="2">
        <f t="shared" si="30"/>
        <v>0.9</v>
      </c>
      <c r="DO47" s="29"/>
      <c r="DP47" s="30"/>
      <c r="DQ47" s="30"/>
      <c r="DR47" s="30"/>
      <c r="DS47" s="30"/>
      <c r="DT47" s="30"/>
      <c r="DU47" s="30"/>
      <c r="DV47" s="30"/>
    </row>
    <row r="48" spans="1:126" s="31" customFormat="1" ht="15.75" x14ac:dyDescent="0.25">
      <c r="A48" s="2" t="s">
        <v>412</v>
      </c>
      <c r="B48" s="25">
        <v>44</v>
      </c>
      <c r="C48" s="35">
        <v>43524</v>
      </c>
      <c r="D48" s="35">
        <v>43524</v>
      </c>
      <c r="E4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8" s="2">
        <v>38</v>
      </c>
      <c r="G48" s="2">
        <v>1</v>
      </c>
      <c r="H48" s="47">
        <f>WEEKNUM(tbSabana2016[[#This Row],[Fecha de Inicio]],15)</f>
        <v>9</v>
      </c>
      <c r="I48" s="36" t="str">
        <f>TEXT(tbSabana2016[[#This Row],[Fecha de Inicio]],"dddd")</f>
        <v>jueves</v>
      </c>
      <c r="J48" s="36" t="str">
        <f>TEXT(tbSabana2016[[#This Row],[Fecha de Inicio]],"mmmm")</f>
        <v>febrero</v>
      </c>
      <c r="K48" s="37" t="s">
        <v>143</v>
      </c>
      <c r="L48" s="23">
        <v>29</v>
      </c>
      <c r="M48" s="38" t="s">
        <v>231</v>
      </c>
      <c r="N48" s="38" t="s">
        <v>231</v>
      </c>
      <c r="O48" s="38" t="s">
        <v>415</v>
      </c>
      <c r="P48" s="38"/>
      <c r="Q48" s="47">
        <v>18</v>
      </c>
      <c r="R48" s="102">
        <v>51</v>
      </c>
      <c r="S48" s="105">
        <v>31.99</v>
      </c>
      <c r="T48" s="102">
        <v>99</v>
      </c>
      <c r="U48" s="102">
        <v>6</v>
      </c>
      <c r="V48" s="105">
        <v>42.96</v>
      </c>
      <c r="W4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51' 31.99'' W 99° 06' 42.96''</v>
      </c>
      <c r="X48" s="44">
        <v>1341</v>
      </c>
      <c r="Y48" s="19">
        <v>0</v>
      </c>
      <c r="Z48" s="19">
        <v>0</v>
      </c>
      <c r="AA48" s="19">
        <v>2</v>
      </c>
      <c r="AB48" s="19">
        <v>3.07</v>
      </c>
      <c r="AC48" s="19">
        <v>0</v>
      </c>
      <c r="AD48" s="19">
        <v>0</v>
      </c>
      <c r="AE48" s="19">
        <f>SUM(tbSabana2016[[#This Row],[Arbolado Adulto (HA)]:[Suelo Orgánico (HA)]])</f>
        <v>5.07</v>
      </c>
      <c r="AF48" s="9">
        <f t="shared" si="31"/>
        <v>333.94000000000005</v>
      </c>
      <c r="AG48" s="9">
        <f>tbSabana2016[[#This Row],[Acumulado (HA)]]/tbSabana2016[[#This Row],[Incendio en el AÑO]]</f>
        <v>7.5895454545454557</v>
      </c>
      <c r="AH48" s="2" t="s">
        <v>147</v>
      </c>
      <c r="AI48" s="2" t="s">
        <v>283</v>
      </c>
      <c r="AJ48" s="2" t="s">
        <v>416</v>
      </c>
      <c r="AK48" s="2" t="s">
        <v>166</v>
      </c>
      <c r="AL48" s="2" t="s">
        <v>150</v>
      </c>
      <c r="AM48" s="2" t="s">
        <v>151</v>
      </c>
      <c r="AN48" s="32">
        <v>43524.614583333336</v>
      </c>
      <c r="AO48" s="32">
        <v>43524.618055555555</v>
      </c>
      <c r="AP48" s="32">
        <v>43524.622916666667</v>
      </c>
      <c r="AQ48" s="32">
        <v>43524.659722222219</v>
      </c>
      <c r="AR48" s="32">
        <v>43524.666666666664</v>
      </c>
      <c r="AS48" s="32"/>
      <c r="AT48" s="32">
        <v>43524.75</v>
      </c>
      <c r="AU48" s="32">
        <v>43524.770833333336</v>
      </c>
      <c r="AV48" s="32">
        <v>43524.8125</v>
      </c>
      <c r="AW48" s="40">
        <v>0.15625</v>
      </c>
      <c r="AX48" s="39">
        <v>3.472222222222222E-3</v>
      </c>
      <c r="AY48" s="39">
        <v>4.1666666666666664E-2</v>
      </c>
      <c r="AZ48" s="40">
        <f>SUM(tbSabana2016[[#This Row],[Duración]])</f>
        <v>0.15625</v>
      </c>
      <c r="BA48" s="2">
        <v>0.3</v>
      </c>
      <c r="BB48" s="2">
        <v>0.7</v>
      </c>
      <c r="BC48" s="2">
        <v>0</v>
      </c>
      <c r="BD48" s="2">
        <v>0</v>
      </c>
      <c r="BE48" s="2">
        <v>0.3</v>
      </c>
      <c r="BF48" s="2">
        <v>0</v>
      </c>
      <c r="BG48" s="2">
        <v>0.2</v>
      </c>
      <c r="BH48" s="2">
        <v>0.9</v>
      </c>
      <c r="BI48" s="2">
        <v>0</v>
      </c>
      <c r="BJ48" s="2" t="s">
        <v>181</v>
      </c>
      <c r="BK48" s="2">
        <v>0</v>
      </c>
      <c r="BL48" s="2">
        <v>1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 t="s">
        <v>243</v>
      </c>
      <c r="BT48" s="2">
        <v>8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15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3">
        <f t="shared" si="27"/>
        <v>23</v>
      </c>
      <c r="CO48" s="10">
        <f t="shared" si="6"/>
        <v>575</v>
      </c>
      <c r="CP48" s="10">
        <f t="shared" si="28"/>
        <v>23</v>
      </c>
      <c r="CQ48" s="24">
        <f>SUM(tbSabana2016[[#This Row],[Voluntarios]])</f>
        <v>0</v>
      </c>
      <c r="CR48" s="8">
        <f>tbSabana2016[[#This Row],[CONAFOR (Oficiales)]]*383</f>
        <v>3064</v>
      </c>
      <c r="CS48" s="8">
        <f>(tbSabana2016[[#This Row],[Total (Oficiales)]]-tbSabana2016[[#This Row],[CONAFOR (Oficiales)]])*217</f>
        <v>3255</v>
      </c>
      <c r="CT48" s="8">
        <f>SUM(tbSabana2016[[#This Row],[Costo CONAFOR]:[Costo Otros]])</f>
        <v>6319</v>
      </c>
      <c r="CU48" s="8">
        <v>475</v>
      </c>
      <c r="CV48" s="8">
        <f t="shared" si="29"/>
        <v>6794</v>
      </c>
      <c r="CW48" s="2" t="s">
        <v>154</v>
      </c>
      <c r="CX48" s="2" t="s">
        <v>154</v>
      </c>
      <c r="CY48" s="69" t="s">
        <v>154</v>
      </c>
      <c r="CZ48" s="2" t="s">
        <v>154</v>
      </c>
      <c r="DA48" s="2" t="s">
        <v>172</v>
      </c>
      <c r="DB48" s="2" t="s">
        <v>155</v>
      </c>
      <c r="DC48" s="2" t="s">
        <v>168</v>
      </c>
      <c r="DD48" s="2" t="s">
        <v>169</v>
      </c>
      <c r="DE48" s="2" t="s">
        <v>267</v>
      </c>
      <c r="DF48" s="2" t="s">
        <v>159</v>
      </c>
      <c r="DG48" s="2" t="s">
        <v>268</v>
      </c>
      <c r="DH48" s="2">
        <v>0</v>
      </c>
      <c r="DI48" s="2">
        <v>0</v>
      </c>
      <c r="DJ48" s="2">
        <v>1.49</v>
      </c>
      <c r="DK48" s="2">
        <v>3</v>
      </c>
      <c r="DL48" s="2">
        <v>0</v>
      </c>
      <c r="DM48" s="2">
        <v>0</v>
      </c>
      <c r="DN48" s="2">
        <f t="shared" si="30"/>
        <v>4.49</v>
      </c>
      <c r="DO48" s="29"/>
      <c r="DP48" s="30"/>
      <c r="DQ48" s="30"/>
      <c r="DR48" s="30"/>
      <c r="DS48" s="30"/>
      <c r="DT48" s="30"/>
      <c r="DU48" s="30"/>
      <c r="DV48" s="30"/>
    </row>
    <row r="49" spans="1:126" s="31" customFormat="1" ht="15.75" x14ac:dyDescent="0.25">
      <c r="A49" s="2" t="s">
        <v>413</v>
      </c>
      <c r="B49" s="25">
        <v>45</v>
      </c>
      <c r="C49" s="35">
        <v>43524</v>
      </c>
      <c r="D49" s="35">
        <v>43524</v>
      </c>
      <c r="E4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49" s="2">
        <v>39</v>
      </c>
      <c r="G49" s="2">
        <v>1</v>
      </c>
      <c r="H49" s="47">
        <f>WEEKNUM(tbSabana2016[[#This Row],[Fecha de Inicio]],15)</f>
        <v>9</v>
      </c>
      <c r="I49" s="36" t="str">
        <f>TEXT(tbSabana2016[[#This Row],[Fecha de Inicio]],"dddd")</f>
        <v>jueves</v>
      </c>
      <c r="J49" s="36" t="str">
        <f>TEXT(tbSabana2016[[#This Row],[Fecha de Inicio]],"mmmm")</f>
        <v>febrero</v>
      </c>
      <c r="K49" s="37" t="s">
        <v>143</v>
      </c>
      <c r="L49" s="23">
        <v>20</v>
      </c>
      <c r="M49" s="38" t="s">
        <v>162</v>
      </c>
      <c r="N49" s="38" t="s">
        <v>163</v>
      </c>
      <c r="O49" s="38" t="s">
        <v>417</v>
      </c>
      <c r="P49" s="38" t="s">
        <v>174</v>
      </c>
      <c r="Q49" s="47">
        <v>18</v>
      </c>
      <c r="R49" s="102">
        <v>56</v>
      </c>
      <c r="S49" s="105">
        <v>54.8</v>
      </c>
      <c r="T49" s="102">
        <v>99</v>
      </c>
      <c r="U49" s="102">
        <v>10</v>
      </c>
      <c r="V49" s="105">
        <v>31.7</v>
      </c>
      <c r="W4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54.80'' W 99° 10' 31.70''</v>
      </c>
      <c r="X49" s="44">
        <v>1565</v>
      </c>
      <c r="Y49" s="19">
        <v>0</v>
      </c>
      <c r="Z49" s="19">
        <v>0</v>
      </c>
      <c r="AA49" s="19">
        <v>0.5</v>
      </c>
      <c r="AB49" s="19">
        <v>0</v>
      </c>
      <c r="AC49" s="19">
        <v>0</v>
      </c>
      <c r="AD49" s="19">
        <v>0</v>
      </c>
      <c r="AE49" s="19">
        <f>SUM(tbSabana2016[[#This Row],[Arbolado Adulto (HA)]:[Suelo Orgánico (HA)]])</f>
        <v>0.5</v>
      </c>
      <c r="AF49" s="9">
        <f t="shared" si="31"/>
        <v>334.44000000000005</v>
      </c>
      <c r="AG49" s="9">
        <f>tbSabana2016[[#This Row],[Acumulado (HA)]]/tbSabana2016[[#This Row],[Incendio en el AÑO]]</f>
        <v>7.4320000000000013</v>
      </c>
      <c r="AH49" s="2" t="s">
        <v>418</v>
      </c>
      <c r="AI49" s="2" t="s">
        <v>419</v>
      </c>
      <c r="AJ49" s="2" t="s">
        <v>135</v>
      </c>
      <c r="AK49" s="2" t="s">
        <v>175</v>
      </c>
      <c r="AL49" s="2" t="s">
        <v>150</v>
      </c>
      <c r="AM49" s="2" t="s">
        <v>151</v>
      </c>
      <c r="AN49" s="32">
        <v>43524.693055555559</v>
      </c>
      <c r="AO49" s="32">
        <v>43524.694444444445</v>
      </c>
      <c r="AP49" s="32">
        <v>43524.697916666664</v>
      </c>
      <c r="AQ49" s="32">
        <v>43524.725694444445</v>
      </c>
      <c r="AR49" s="32">
        <v>43524.725694444445</v>
      </c>
      <c r="AS49" s="32"/>
      <c r="AT49" s="32">
        <v>43524.743055555555</v>
      </c>
      <c r="AU49" s="32">
        <v>43524.767361111109</v>
      </c>
      <c r="AV49" s="32">
        <v>43524.791666666664</v>
      </c>
      <c r="AW49" s="40">
        <v>7.4305555555555555E-2</v>
      </c>
      <c r="AX49" s="39">
        <v>1.3888888888888889E-3</v>
      </c>
      <c r="AY49" s="39">
        <v>3.125E-2</v>
      </c>
      <c r="AZ49" s="40">
        <f>SUM(tbSabana2016[[#This Row],[Duración]])</f>
        <v>7.4305555555555555E-2</v>
      </c>
      <c r="BA49" s="2">
        <v>0.1</v>
      </c>
      <c r="BB49" s="2">
        <v>0.1</v>
      </c>
      <c r="BC49" s="2">
        <v>0</v>
      </c>
      <c r="BD49" s="2">
        <v>0</v>
      </c>
      <c r="BE49" s="2">
        <v>0.05</v>
      </c>
      <c r="BF49" s="2">
        <v>0</v>
      </c>
      <c r="BG49" s="2">
        <v>0</v>
      </c>
      <c r="BH49" s="2">
        <v>0</v>
      </c>
      <c r="BI49" s="2">
        <v>0</v>
      </c>
      <c r="BJ49" s="2" t="s">
        <v>329</v>
      </c>
      <c r="BK49" s="2">
        <v>0</v>
      </c>
      <c r="BL49" s="2">
        <v>0</v>
      </c>
      <c r="BM49" s="2">
        <v>0</v>
      </c>
      <c r="BN49" s="2">
        <v>1</v>
      </c>
      <c r="BO49" s="2">
        <v>0</v>
      </c>
      <c r="BP49" s="2">
        <v>0</v>
      </c>
      <c r="BQ49" s="2">
        <v>0</v>
      </c>
      <c r="BR49" s="2">
        <v>0</v>
      </c>
      <c r="BS49" s="2"/>
      <c r="BT49" s="2">
        <v>8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3">
        <f t="shared" si="27"/>
        <v>8</v>
      </c>
      <c r="CO49" s="10">
        <f t="shared" si="6"/>
        <v>583</v>
      </c>
      <c r="CP49" s="10">
        <f t="shared" si="28"/>
        <v>8</v>
      </c>
      <c r="CQ49" s="24">
        <f>SUM(tbSabana2016[[#This Row],[Voluntarios]])</f>
        <v>0</v>
      </c>
      <c r="CR49" s="8">
        <f>tbSabana2016[[#This Row],[CONAFOR (Oficiales)]]*383</f>
        <v>3064</v>
      </c>
      <c r="CS49" s="8">
        <f>(tbSabana2016[[#This Row],[Total (Oficiales)]]-tbSabana2016[[#This Row],[CONAFOR (Oficiales)]])*217</f>
        <v>0</v>
      </c>
      <c r="CT49" s="8">
        <f>SUM(tbSabana2016[[#This Row],[Costo CONAFOR]:[Costo Otros]])</f>
        <v>3064</v>
      </c>
      <c r="CU49" s="8">
        <v>171</v>
      </c>
      <c r="CV49" s="8">
        <f t="shared" si="29"/>
        <v>3235</v>
      </c>
      <c r="CW49" s="2" t="s">
        <v>154</v>
      </c>
      <c r="CX49" s="2" t="s">
        <v>154</v>
      </c>
      <c r="CY49" s="69" t="s">
        <v>154</v>
      </c>
      <c r="CZ49" s="2" t="s">
        <v>154</v>
      </c>
      <c r="DA49" s="2" t="s">
        <v>172</v>
      </c>
      <c r="DB49" s="2" t="s">
        <v>155</v>
      </c>
      <c r="DC49" s="2" t="s">
        <v>168</v>
      </c>
      <c r="DD49" s="2" t="s">
        <v>169</v>
      </c>
      <c r="DE49" s="2" t="s">
        <v>170</v>
      </c>
      <c r="DF49" s="2" t="s">
        <v>159</v>
      </c>
      <c r="DG49" s="2" t="s">
        <v>171</v>
      </c>
      <c r="DH49" s="2">
        <v>0</v>
      </c>
      <c r="DI49" s="2">
        <v>0</v>
      </c>
      <c r="DJ49" s="2">
        <v>0.5</v>
      </c>
      <c r="DK49" s="2">
        <v>0</v>
      </c>
      <c r="DL49" s="2">
        <v>0</v>
      </c>
      <c r="DM49" s="2">
        <v>0</v>
      </c>
      <c r="DN49" s="2">
        <f t="shared" si="30"/>
        <v>0.5</v>
      </c>
      <c r="DO49" s="29"/>
      <c r="DP49" s="30"/>
      <c r="DQ49" s="30"/>
      <c r="DR49" s="30"/>
      <c r="DS49" s="30"/>
      <c r="DT49" s="30"/>
      <c r="DU49" s="30"/>
      <c r="DV49" s="30"/>
    </row>
    <row r="50" spans="1:126" s="31" customFormat="1" ht="15.75" x14ac:dyDescent="0.25">
      <c r="A50" s="2" t="s">
        <v>425</v>
      </c>
      <c r="B50" s="25">
        <v>46</v>
      </c>
      <c r="C50" s="35">
        <v>43526</v>
      </c>
      <c r="D50" s="35">
        <v>43526</v>
      </c>
      <c r="E5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0" s="2">
        <v>40</v>
      </c>
      <c r="G50" s="2">
        <v>1</v>
      </c>
      <c r="H50" s="47">
        <f>WEEKNUM(tbSabana2016[[#This Row],[Fecha de Inicio]],15)</f>
        <v>10</v>
      </c>
      <c r="I50" s="36" t="str">
        <f>TEXT(tbSabana2016[[#This Row],[Fecha de Inicio]],"dddd")</f>
        <v>sábado</v>
      </c>
      <c r="J50" s="36" t="str">
        <f>TEXT(tbSabana2016[[#This Row],[Fecha de Inicio]],"mmmm")</f>
        <v>marzo</v>
      </c>
      <c r="K50" s="37" t="s">
        <v>143</v>
      </c>
      <c r="L50" s="23">
        <v>20</v>
      </c>
      <c r="M50" s="38" t="s">
        <v>162</v>
      </c>
      <c r="N50" s="38" t="s">
        <v>163</v>
      </c>
      <c r="O50" s="38" t="s">
        <v>426</v>
      </c>
      <c r="P50" s="38" t="s">
        <v>174</v>
      </c>
      <c r="Q50" s="47">
        <v>18</v>
      </c>
      <c r="R50" s="102">
        <v>57</v>
      </c>
      <c r="S50" s="105">
        <v>53.37</v>
      </c>
      <c r="T50" s="102">
        <v>99</v>
      </c>
      <c r="U50" s="102">
        <v>10</v>
      </c>
      <c r="V50" s="105">
        <v>13.14</v>
      </c>
      <c r="W5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53.37'' W 99° 10' 13.14''</v>
      </c>
      <c r="X50" s="44">
        <v>1651</v>
      </c>
      <c r="Y50" s="19">
        <v>0</v>
      </c>
      <c r="Z50" s="19">
        <v>0</v>
      </c>
      <c r="AA50" s="19">
        <v>0</v>
      </c>
      <c r="AB50" s="19">
        <v>0.9</v>
      </c>
      <c r="AC50" s="19">
        <v>0</v>
      </c>
      <c r="AD50" s="19">
        <v>0</v>
      </c>
      <c r="AE50" s="19">
        <f>SUM(tbSabana2016[[#This Row],[Arbolado Adulto (HA)]:[Suelo Orgánico (HA)]])</f>
        <v>0.9</v>
      </c>
      <c r="AF50" s="9">
        <f t="shared" ref="AF50:AF55" si="32">SUM(AF49,AE50)</f>
        <v>335.34000000000003</v>
      </c>
      <c r="AG50" s="9">
        <f>tbSabana2016[[#This Row],[Acumulado (HA)]]/tbSabana2016[[#This Row],[Incendio en el AÑO]]</f>
        <v>7.2900000000000009</v>
      </c>
      <c r="AH50" s="2" t="s">
        <v>147</v>
      </c>
      <c r="AI50" s="2" t="s">
        <v>165</v>
      </c>
      <c r="AJ50" s="2" t="s">
        <v>134</v>
      </c>
      <c r="AK50" s="2" t="s">
        <v>183</v>
      </c>
      <c r="AL50" s="2" t="s">
        <v>150</v>
      </c>
      <c r="AM50" s="2" t="s">
        <v>151</v>
      </c>
      <c r="AN50" s="32">
        <v>43526.402777777781</v>
      </c>
      <c r="AO50" s="32">
        <v>43526.40625</v>
      </c>
      <c r="AP50" s="32">
        <v>43526.409722222219</v>
      </c>
      <c r="AQ50" s="32">
        <v>43526.430555555555</v>
      </c>
      <c r="AR50" s="32">
        <v>43526.434027777781</v>
      </c>
      <c r="AS50" s="32"/>
      <c r="AT50" s="32">
        <v>43526.458333333336</v>
      </c>
      <c r="AU50" s="32">
        <v>43526.479166666664</v>
      </c>
      <c r="AV50" s="32">
        <v>43526.493055555555</v>
      </c>
      <c r="AW50" s="40">
        <v>7.6388888888888895E-2</v>
      </c>
      <c r="AX50" s="39">
        <v>3.472222222222222E-3</v>
      </c>
      <c r="AY50" s="39">
        <v>2.4305555555555556E-2</v>
      </c>
      <c r="AZ50" s="40">
        <f>SUM(tbSabana2016[[#This Row],[Duración]])</f>
        <v>7.6388888888888895E-2</v>
      </c>
      <c r="BA50" s="2">
        <v>0.1</v>
      </c>
      <c r="BB50" s="2">
        <v>0.1</v>
      </c>
      <c r="BC50" s="2">
        <v>0</v>
      </c>
      <c r="BD50" s="2">
        <v>0</v>
      </c>
      <c r="BE50" s="2">
        <v>0.1</v>
      </c>
      <c r="BF50" s="2">
        <v>0</v>
      </c>
      <c r="BG50" s="2">
        <v>0</v>
      </c>
      <c r="BH50" s="2">
        <v>0</v>
      </c>
      <c r="BI50" s="2">
        <v>0</v>
      </c>
      <c r="BJ50" s="2" t="s">
        <v>206</v>
      </c>
      <c r="BK50" s="2">
        <v>0</v>
      </c>
      <c r="BL50" s="2">
        <v>0</v>
      </c>
      <c r="BM50" s="2">
        <v>1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/>
      <c r="BT50" s="2">
        <v>10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3">
        <f t="shared" ref="CN50:CN55" si="33">SUM(BT50:CM50)</f>
        <v>10</v>
      </c>
      <c r="CO50" s="10">
        <f t="shared" ref="CO50:CO55" si="34">SUM(CO49,CN50)</f>
        <v>593</v>
      </c>
      <c r="CP50" s="10">
        <f t="shared" ref="CP50:CP55" si="35">SUM(BT50:CG50,CI50:CM50)</f>
        <v>10</v>
      </c>
      <c r="CQ50" s="24">
        <f>SUM(tbSabana2016[[#This Row],[Voluntarios]])</f>
        <v>0</v>
      </c>
      <c r="CR50" s="8">
        <f>tbSabana2016[[#This Row],[CONAFOR (Oficiales)]]*383</f>
        <v>3830</v>
      </c>
      <c r="CS50" s="8">
        <f>(tbSabana2016[[#This Row],[Total (Oficiales)]]-tbSabana2016[[#This Row],[CONAFOR (Oficiales)]])*217</f>
        <v>0</v>
      </c>
      <c r="CT50" s="8">
        <f>SUM(tbSabana2016[[#This Row],[Costo CONAFOR]:[Costo Otros]])</f>
        <v>3830</v>
      </c>
      <c r="CU50" s="8">
        <v>137.97</v>
      </c>
      <c r="CV50" s="8">
        <f t="shared" ref="CV50:CV55" si="36">SUM(CT50:CU50)</f>
        <v>3967.97</v>
      </c>
      <c r="CW50" s="2" t="s">
        <v>154</v>
      </c>
      <c r="CX50" s="2" t="s">
        <v>154</v>
      </c>
      <c r="CY50" s="69" t="s">
        <v>154</v>
      </c>
      <c r="CZ50" s="2" t="s">
        <v>154</v>
      </c>
      <c r="DA50" s="2" t="s">
        <v>172</v>
      </c>
      <c r="DB50" s="2" t="s">
        <v>155</v>
      </c>
      <c r="DC50" s="2" t="s">
        <v>168</v>
      </c>
      <c r="DD50" s="2" t="s">
        <v>169</v>
      </c>
      <c r="DE50" s="2" t="s">
        <v>170</v>
      </c>
      <c r="DF50" s="2" t="s">
        <v>159</v>
      </c>
      <c r="DG50" s="2" t="s">
        <v>171</v>
      </c>
      <c r="DH50" s="2">
        <v>0</v>
      </c>
      <c r="DI50" s="2">
        <v>0</v>
      </c>
      <c r="DJ50" s="2">
        <v>0</v>
      </c>
      <c r="DK50" s="2">
        <v>0.9</v>
      </c>
      <c r="DL50" s="2">
        <v>0</v>
      </c>
      <c r="DM50" s="2">
        <v>0</v>
      </c>
      <c r="DN50" s="2">
        <f t="shared" ref="DN50:DN55" si="37">SUM(DH50:DM50)</f>
        <v>0.9</v>
      </c>
      <c r="DO50" s="29"/>
      <c r="DP50" s="30"/>
      <c r="DQ50" s="30"/>
      <c r="DR50" s="30"/>
      <c r="DS50" s="30"/>
      <c r="DT50" s="30"/>
      <c r="DU50" s="30"/>
      <c r="DV50" s="30"/>
    </row>
    <row r="51" spans="1:126" s="31" customFormat="1" ht="15.75" x14ac:dyDescent="0.25">
      <c r="A51" s="2" t="s">
        <v>427</v>
      </c>
      <c r="B51" s="25">
        <v>47</v>
      </c>
      <c r="C51" s="35">
        <v>43526</v>
      </c>
      <c r="D51" s="35">
        <v>43526</v>
      </c>
      <c r="E5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1" s="2">
        <v>41</v>
      </c>
      <c r="G51" s="2">
        <v>1</v>
      </c>
      <c r="H51" s="47">
        <f>WEEKNUM(tbSabana2016[[#This Row],[Fecha de Inicio]],15)</f>
        <v>10</v>
      </c>
      <c r="I51" s="36" t="str">
        <f>TEXT(tbSabana2016[[#This Row],[Fecha de Inicio]],"dddd")</f>
        <v>sábado</v>
      </c>
      <c r="J51" s="36" t="str">
        <f>TEXT(tbSabana2016[[#This Row],[Fecha de Inicio]],"mmmm")</f>
        <v>marzo</v>
      </c>
      <c r="K51" s="37" t="s">
        <v>143</v>
      </c>
      <c r="L51" s="23">
        <v>23</v>
      </c>
      <c r="M51" s="38" t="s">
        <v>123</v>
      </c>
      <c r="N51" s="38" t="s">
        <v>123</v>
      </c>
      <c r="O51" s="38" t="s">
        <v>428</v>
      </c>
      <c r="P51" s="38"/>
      <c r="Q51" s="47">
        <v>19</v>
      </c>
      <c r="R51" s="102">
        <v>2</v>
      </c>
      <c r="S51" s="105">
        <v>37.89</v>
      </c>
      <c r="T51" s="102">
        <v>99</v>
      </c>
      <c r="U51" s="102">
        <v>0</v>
      </c>
      <c r="V51" s="105">
        <v>27.68</v>
      </c>
      <c r="W5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37.89'' W 99° 00' 27.68''</v>
      </c>
      <c r="X51" s="44">
        <v>2784</v>
      </c>
      <c r="Y51" s="19">
        <v>0</v>
      </c>
      <c r="Z51" s="19">
        <v>0</v>
      </c>
      <c r="AA51" s="19">
        <v>3.78</v>
      </c>
      <c r="AB51" s="19">
        <v>4</v>
      </c>
      <c r="AC51" s="19">
        <v>0</v>
      </c>
      <c r="AD51" s="19">
        <v>0</v>
      </c>
      <c r="AE51" s="19">
        <f>SUM(tbSabana2016[[#This Row],[Arbolado Adulto (HA)]:[Suelo Orgánico (HA)]])</f>
        <v>7.7799999999999994</v>
      </c>
      <c r="AF51" s="9">
        <f t="shared" si="32"/>
        <v>343.12</v>
      </c>
      <c r="AG51" s="9">
        <f>tbSabana2016[[#This Row],[Acumulado (HA)]]/tbSabana2016[[#This Row],[Incendio en el AÑO]]</f>
        <v>7.3004255319148941</v>
      </c>
      <c r="AH51" s="2" t="s">
        <v>418</v>
      </c>
      <c r="AI51" s="2" t="s">
        <v>429</v>
      </c>
      <c r="AJ51" s="2" t="s">
        <v>139</v>
      </c>
      <c r="AK51" s="2" t="s">
        <v>166</v>
      </c>
      <c r="AL51" s="2" t="s">
        <v>150</v>
      </c>
      <c r="AM51" s="2" t="s">
        <v>151</v>
      </c>
      <c r="AN51" s="32">
        <v>43526.458333333336</v>
      </c>
      <c r="AO51" s="32">
        <v>43526.46875</v>
      </c>
      <c r="AP51" s="32">
        <v>43526.472222222219</v>
      </c>
      <c r="AQ51" s="32">
        <v>43526.576388888891</v>
      </c>
      <c r="AR51" s="32">
        <v>43526.579861111109</v>
      </c>
      <c r="AS51" s="32">
        <v>43526.579861111109</v>
      </c>
      <c r="AT51" s="32">
        <v>43526.701388888891</v>
      </c>
      <c r="AU51" s="32">
        <v>43526.75</v>
      </c>
      <c r="AV51" s="32">
        <v>43526.895833333336</v>
      </c>
      <c r="AW51" s="40">
        <v>0.29166666666666669</v>
      </c>
      <c r="AX51" s="39">
        <v>1.0416666666666666E-2</v>
      </c>
      <c r="AY51" s="39">
        <v>0.1076388888888889</v>
      </c>
      <c r="AZ51" s="40">
        <f>SUM(tbSabana2016[[#This Row],[Duración]])</f>
        <v>0.29166666666666669</v>
      </c>
      <c r="BA51" s="2">
        <v>0.7</v>
      </c>
      <c r="BB51" s="2">
        <v>1.6</v>
      </c>
      <c r="BC51" s="2">
        <v>0</v>
      </c>
      <c r="BD51" s="2">
        <v>0</v>
      </c>
      <c r="BE51" s="2">
        <v>0.5</v>
      </c>
      <c r="BF51" s="2">
        <v>0</v>
      </c>
      <c r="BG51" s="2">
        <v>0.3</v>
      </c>
      <c r="BH51" s="2">
        <v>2.6</v>
      </c>
      <c r="BI51" s="2">
        <v>0</v>
      </c>
      <c r="BJ51" s="2" t="s">
        <v>176</v>
      </c>
      <c r="BK51" s="2">
        <v>1</v>
      </c>
      <c r="BL51" s="2">
        <v>1</v>
      </c>
      <c r="BM51" s="2">
        <v>0</v>
      </c>
      <c r="BN51" s="2">
        <v>0</v>
      </c>
      <c r="BO51" s="2">
        <v>1</v>
      </c>
      <c r="BP51" s="2">
        <v>0</v>
      </c>
      <c r="BQ51" s="2">
        <v>0</v>
      </c>
      <c r="BR51" s="2">
        <v>0</v>
      </c>
      <c r="BS51" s="2"/>
      <c r="BT51" s="2">
        <v>17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3">
        <f t="shared" si="33"/>
        <v>17</v>
      </c>
      <c r="CO51" s="10">
        <f t="shared" si="34"/>
        <v>610</v>
      </c>
      <c r="CP51" s="10">
        <f t="shared" si="35"/>
        <v>17</v>
      </c>
      <c r="CQ51" s="24">
        <f>SUM(tbSabana2016[[#This Row],[Voluntarios]])</f>
        <v>0</v>
      </c>
      <c r="CR51" s="8">
        <f>tbSabana2016[[#This Row],[CONAFOR (Oficiales)]]*383</f>
        <v>6511</v>
      </c>
      <c r="CS51" s="8">
        <f>(tbSabana2016[[#This Row],[Total (Oficiales)]]-tbSabana2016[[#This Row],[CONAFOR (Oficiales)]])*217</f>
        <v>0</v>
      </c>
      <c r="CT51" s="8">
        <f>SUM(tbSabana2016[[#This Row],[Costo CONAFOR]:[Costo Otros]])</f>
        <v>6511</v>
      </c>
      <c r="CU51" s="8">
        <v>1711.4</v>
      </c>
      <c r="CV51" s="8">
        <f t="shared" si="36"/>
        <v>8222.4</v>
      </c>
      <c r="CW51" s="2" t="s">
        <v>154</v>
      </c>
      <c r="CX51" s="2" t="s">
        <v>154</v>
      </c>
      <c r="CY51" s="69" t="s">
        <v>154</v>
      </c>
      <c r="CZ51" s="2" t="s">
        <v>154</v>
      </c>
      <c r="DA51" s="2" t="s">
        <v>172</v>
      </c>
      <c r="DB51" s="2" t="s">
        <v>155</v>
      </c>
      <c r="DC51" s="2" t="s">
        <v>468</v>
      </c>
      <c r="DD51" s="2" t="s">
        <v>311</v>
      </c>
      <c r="DE51" s="2" t="s">
        <v>158</v>
      </c>
      <c r="DF51" s="2" t="s">
        <v>159</v>
      </c>
      <c r="DG51" s="2" t="s">
        <v>160</v>
      </c>
      <c r="DH51" s="2">
        <v>0</v>
      </c>
      <c r="DI51" s="2">
        <v>0</v>
      </c>
      <c r="DJ51" s="2">
        <v>3.78</v>
      </c>
      <c r="DK51" s="2">
        <v>4</v>
      </c>
      <c r="DL51" s="2">
        <v>0</v>
      </c>
      <c r="DM51" s="2">
        <v>0</v>
      </c>
      <c r="DN51" s="2">
        <f t="shared" si="37"/>
        <v>7.7799999999999994</v>
      </c>
      <c r="DO51" s="29"/>
      <c r="DP51" s="30"/>
      <c r="DQ51" s="30"/>
      <c r="DR51" s="30"/>
      <c r="DS51" s="30"/>
      <c r="DT51" s="30"/>
      <c r="DU51" s="30"/>
      <c r="DV51" s="30"/>
    </row>
    <row r="52" spans="1:126" x14ac:dyDescent="0.25">
      <c r="A52" s="2" t="s">
        <v>423</v>
      </c>
      <c r="B52" s="25">
        <v>48</v>
      </c>
      <c r="C52" s="35">
        <v>43526</v>
      </c>
      <c r="D52" s="35">
        <v>43526</v>
      </c>
      <c r="E5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2" s="2">
        <v>42</v>
      </c>
      <c r="G52" s="2">
        <v>1</v>
      </c>
      <c r="H52" s="47">
        <f>WEEKNUM(tbSabana2016[[#This Row],[Fecha de Inicio]],15)</f>
        <v>10</v>
      </c>
      <c r="I52" s="36" t="str">
        <f>TEXT(tbSabana2016[[#This Row],[Fecha de Inicio]],"dddd")</f>
        <v>sábado</v>
      </c>
      <c r="J52" s="36" t="str">
        <f>TEXT(tbSabana2016[[#This Row],[Fecha de Inicio]],"mmmm")</f>
        <v>marzo</v>
      </c>
      <c r="K52" s="37" t="s">
        <v>143</v>
      </c>
      <c r="L52" s="23">
        <v>20</v>
      </c>
      <c r="M52" s="38" t="s">
        <v>162</v>
      </c>
      <c r="N52" s="38" t="s">
        <v>163</v>
      </c>
      <c r="O52" s="38" t="s">
        <v>424</v>
      </c>
      <c r="P52" s="38"/>
      <c r="Q52" s="47">
        <v>18</v>
      </c>
      <c r="R52" s="102">
        <v>57</v>
      </c>
      <c r="S52" s="105">
        <v>51.8</v>
      </c>
      <c r="T52" s="102">
        <v>99</v>
      </c>
      <c r="U52" s="102">
        <v>9</v>
      </c>
      <c r="V52" s="105">
        <v>40.799999999999997</v>
      </c>
      <c r="W5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51.80'' W 99° 09' 40.80''</v>
      </c>
      <c r="X52" s="44">
        <v>1616</v>
      </c>
      <c r="Y52" s="19">
        <v>0</v>
      </c>
      <c r="Z52" s="19">
        <v>0</v>
      </c>
      <c r="AA52" s="19">
        <v>5</v>
      </c>
      <c r="AB52" s="19">
        <v>5</v>
      </c>
      <c r="AC52" s="19">
        <v>0</v>
      </c>
      <c r="AD52" s="19">
        <v>0</v>
      </c>
      <c r="AE52" s="19">
        <f>SUM(tbSabana2016[[#This Row],[Arbolado Adulto (HA)]:[Suelo Orgánico (HA)]])</f>
        <v>10</v>
      </c>
      <c r="AF52" s="9">
        <f t="shared" si="32"/>
        <v>353.12</v>
      </c>
      <c r="AG52" s="9">
        <f>tbSabana2016[[#This Row],[Acumulado (HA)]]/tbSabana2016[[#This Row],[Incendio en el AÑO]]</f>
        <v>7.3566666666666665</v>
      </c>
      <c r="AH52" s="2" t="s">
        <v>147</v>
      </c>
      <c r="AI52" s="2" t="s">
        <v>165</v>
      </c>
      <c r="AJ52" s="2" t="s">
        <v>135</v>
      </c>
      <c r="AK52" s="2" t="s">
        <v>175</v>
      </c>
      <c r="AL52" s="2" t="s">
        <v>150</v>
      </c>
      <c r="AM52" s="2" t="s">
        <v>151</v>
      </c>
      <c r="AN52" s="32">
        <v>43526.513888888891</v>
      </c>
      <c r="AO52" s="32">
        <v>43526.519444444442</v>
      </c>
      <c r="AP52" s="32">
        <v>43526.520833333336</v>
      </c>
      <c r="AQ52" s="32">
        <v>43526.541666666664</v>
      </c>
      <c r="AR52" s="32">
        <v>43526.548611111109</v>
      </c>
      <c r="AS52" s="32"/>
      <c r="AT52" s="32">
        <v>43526.75</v>
      </c>
      <c r="AU52" s="32">
        <v>43526.805555555555</v>
      </c>
      <c r="AV52" s="32">
        <v>43526.833333333336</v>
      </c>
      <c r="AW52" s="40">
        <v>0.29166666666666669</v>
      </c>
      <c r="AX52" s="39">
        <v>5.5555555555555558E-3</v>
      </c>
      <c r="AY52" s="39">
        <v>2.2222222222222223E-2</v>
      </c>
      <c r="AZ52" s="40">
        <f>SUM(tbSabana2016[[#This Row],[Duración]])</f>
        <v>0.29166666666666669</v>
      </c>
      <c r="BA52" s="2">
        <v>0.2</v>
      </c>
      <c r="BB52" s="2">
        <v>0.3</v>
      </c>
      <c r="BC52" s="2">
        <v>0</v>
      </c>
      <c r="BD52" s="2">
        <v>0</v>
      </c>
      <c r="BE52" s="2">
        <v>0.4</v>
      </c>
      <c r="BF52" s="2">
        <v>0</v>
      </c>
      <c r="BG52" s="2">
        <v>0</v>
      </c>
      <c r="BH52" s="2">
        <v>0.4</v>
      </c>
      <c r="BI52" s="2">
        <v>0</v>
      </c>
      <c r="BJ52" s="2" t="s">
        <v>179</v>
      </c>
      <c r="BK52" s="2">
        <v>0</v>
      </c>
      <c r="BL52" s="2">
        <v>0</v>
      </c>
      <c r="BM52" s="2">
        <v>0</v>
      </c>
      <c r="BN52" s="2">
        <v>1</v>
      </c>
      <c r="BO52" s="2">
        <v>0</v>
      </c>
      <c r="BP52" s="2">
        <v>0</v>
      </c>
      <c r="BQ52" s="2">
        <v>0</v>
      </c>
      <c r="BR52" s="2">
        <v>0</v>
      </c>
      <c r="BT52" s="2">
        <v>9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3">
        <f t="shared" si="33"/>
        <v>9</v>
      </c>
      <c r="CO52" s="10">
        <f t="shared" si="34"/>
        <v>619</v>
      </c>
      <c r="CP52" s="10">
        <f t="shared" si="35"/>
        <v>9</v>
      </c>
      <c r="CQ52" s="24">
        <f>SUM(tbSabana2016[[#This Row],[Voluntarios]])</f>
        <v>0</v>
      </c>
      <c r="CR52" s="8">
        <f>tbSabana2016[[#This Row],[CONAFOR (Oficiales)]]*383</f>
        <v>3447</v>
      </c>
      <c r="CS52" s="8">
        <f>(tbSabana2016[[#This Row],[Total (Oficiales)]]-tbSabana2016[[#This Row],[CONAFOR (Oficiales)]])*217</f>
        <v>0</v>
      </c>
      <c r="CT52" s="8">
        <f>SUM(tbSabana2016[[#This Row],[Costo CONAFOR]:[Costo Otros]])</f>
        <v>3447</v>
      </c>
      <c r="CU52" s="8">
        <v>193.69</v>
      </c>
      <c r="CV52" s="8">
        <f t="shared" si="36"/>
        <v>3640.69</v>
      </c>
      <c r="CW52" s="2" t="s">
        <v>154</v>
      </c>
      <c r="CX52" s="2" t="s">
        <v>154</v>
      </c>
      <c r="CY52" s="69" t="s">
        <v>154</v>
      </c>
      <c r="CZ52" s="2" t="s">
        <v>154</v>
      </c>
      <c r="DA52" s="2" t="s">
        <v>172</v>
      </c>
      <c r="DB52" s="2" t="s">
        <v>155</v>
      </c>
      <c r="DC52" s="2" t="s">
        <v>168</v>
      </c>
      <c r="DD52" s="2" t="s">
        <v>169</v>
      </c>
      <c r="DE52" s="2" t="s">
        <v>170</v>
      </c>
      <c r="DF52" s="2" t="s">
        <v>159</v>
      </c>
      <c r="DG52" s="2" t="s">
        <v>171</v>
      </c>
      <c r="DH52" s="2">
        <v>0</v>
      </c>
      <c r="DI52" s="2">
        <v>0</v>
      </c>
      <c r="DJ52" s="2">
        <v>5</v>
      </c>
      <c r="DK52" s="2">
        <v>5</v>
      </c>
      <c r="DL52" s="2">
        <v>0</v>
      </c>
      <c r="DM52" s="2">
        <v>0</v>
      </c>
      <c r="DN52" s="2">
        <f t="shared" si="37"/>
        <v>10</v>
      </c>
    </row>
    <row r="53" spans="1:126" x14ac:dyDescent="0.25">
      <c r="A53" s="2" t="s">
        <v>431</v>
      </c>
      <c r="B53" s="25">
        <v>49</v>
      </c>
      <c r="C53" s="35">
        <v>43528</v>
      </c>
      <c r="D53" s="35">
        <v>43528</v>
      </c>
      <c r="E5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3" s="2">
        <v>43</v>
      </c>
      <c r="G53" s="2">
        <v>1</v>
      </c>
      <c r="H53" s="47">
        <f>WEEKNUM(tbSabana2016[[#This Row],[Fecha de Inicio]],15)</f>
        <v>10</v>
      </c>
      <c r="I53" s="36" t="str">
        <f>TEXT(tbSabana2016[[#This Row],[Fecha de Inicio]],"dddd")</f>
        <v>lunes</v>
      </c>
      <c r="J53" s="36" t="str">
        <f>TEXT(tbSabana2016[[#This Row],[Fecha de Inicio]],"mmmm")</f>
        <v>marzo</v>
      </c>
      <c r="K53" s="37" t="s">
        <v>143</v>
      </c>
      <c r="L53" s="23">
        <v>20</v>
      </c>
      <c r="M53" s="38" t="s">
        <v>162</v>
      </c>
      <c r="N53" s="38" t="s">
        <v>163</v>
      </c>
      <c r="O53" s="38" t="s">
        <v>432</v>
      </c>
      <c r="P53" s="38" t="s">
        <v>249</v>
      </c>
      <c r="Q53" s="47">
        <v>18</v>
      </c>
      <c r="R53" s="102">
        <v>59</v>
      </c>
      <c r="S53" s="105">
        <v>2.7</v>
      </c>
      <c r="T53" s="102">
        <v>99</v>
      </c>
      <c r="U53" s="102">
        <v>10</v>
      </c>
      <c r="V53" s="105">
        <v>58.1</v>
      </c>
      <c r="W5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02.70'' W 99° 10' 58.10''</v>
      </c>
      <c r="X53" s="44">
        <v>1792</v>
      </c>
      <c r="Y53" s="19">
        <v>0</v>
      </c>
      <c r="Z53" s="19">
        <v>0</v>
      </c>
      <c r="AA53" s="19">
        <v>0.9</v>
      </c>
      <c r="AB53" s="19">
        <v>0</v>
      </c>
      <c r="AC53" s="19">
        <v>0</v>
      </c>
      <c r="AD53" s="19">
        <v>0</v>
      </c>
      <c r="AE53" s="19">
        <f>SUM(tbSabana2016[[#This Row],[Arbolado Adulto (HA)]:[Suelo Orgánico (HA)]])</f>
        <v>0.9</v>
      </c>
      <c r="AF53" s="9">
        <f t="shared" si="32"/>
        <v>354.02</v>
      </c>
      <c r="AG53" s="9">
        <f>tbSabana2016[[#This Row],[Acumulado (HA)]]/tbSabana2016[[#This Row],[Incendio en el AÑO]]</f>
        <v>7.2248979591836733</v>
      </c>
      <c r="AH53" s="2" t="s">
        <v>147</v>
      </c>
      <c r="AI53" s="2" t="s">
        <v>165</v>
      </c>
      <c r="AJ53" s="2" t="s">
        <v>135</v>
      </c>
      <c r="AK53" s="2" t="s">
        <v>175</v>
      </c>
      <c r="AL53" s="2" t="s">
        <v>150</v>
      </c>
      <c r="AM53" s="2" t="s">
        <v>151</v>
      </c>
      <c r="AN53" s="32">
        <v>43528.652777777781</v>
      </c>
      <c r="AO53" s="32">
        <v>43528.65625</v>
      </c>
      <c r="AP53" s="32">
        <v>43528.659722222219</v>
      </c>
      <c r="AQ53" s="32">
        <v>43528.677083333336</v>
      </c>
      <c r="AR53" s="32">
        <v>43528.680555555555</v>
      </c>
      <c r="AS53" s="32"/>
      <c r="AT53" s="32">
        <v>43528.694444444445</v>
      </c>
      <c r="AU53" s="32">
        <v>43528.71875</v>
      </c>
      <c r="AV53" s="32">
        <v>43528.75</v>
      </c>
      <c r="AW53" s="40">
        <v>6.5972222222222224E-2</v>
      </c>
      <c r="AX53" s="39">
        <v>3.472222222222222E-3</v>
      </c>
      <c r="AY53" s="39">
        <v>2.0833333333333332E-2</v>
      </c>
      <c r="AZ53" s="40">
        <f>SUM(tbSabana2016[[#This Row],[Duración]])</f>
        <v>6.5972222222222224E-2</v>
      </c>
      <c r="BA53" s="2">
        <v>0.1</v>
      </c>
      <c r="BB53" s="2">
        <v>0.3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 t="s">
        <v>242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 t="s">
        <v>243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14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3">
        <f t="shared" si="33"/>
        <v>14</v>
      </c>
      <c r="CO53" s="10">
        <f t="shared" si="34"/>
        <v>633</v>
      </c>
      <c r="CP53" s="10">
        <f t="shared" si="35"/>
        <v>14</v>
      </c>
      <c r="CQ53" s="24">
        <f>SUM(tbSabana2016[[#This Row],[Voluntarios]])</f>
        <v>0</v>
      </c>
      <c r="CR53" s="8">
        <f>tbSabana2016[[#This Row],[CONAFOR (Oficiales)]]*383</f>
        <v>0</v>
      </c>
      <c r="CS53" s="8">
        <f>(tbSabana2016[[#This Row],[Total (Oficiales)]]-tbSabana2016[[#This Row],[CONAFOR (Oficiales)]])*217</f>
        <v>3038</v>
      </c>
      <c r="CT53" s="8">
        <f>SUM(tbSabana2016[[#This Row],[Costo CONAFOR]:[Costo Otros]])</f>
        <v>3038</v>
      </c>
      <c r="CU53" s="8">
        <v>216.24</v>
      </c>
      <c r="CV53" s="8">
        <f t="shared" si="36"/>
        <v>3254.24</v>
      </c>
      <c r="CW53" s="2" t="s">
        <v>154</v>
      </c>
      <c r="CX53" s="2" t="s">
        <v>154</v>
      </c>
      <c r="CY53" s="69" t="s">
        <v>154</v>
      </c>
      <c r="CZ53" s="2" t="s">
        <v>154</v>
      </c>
      <c r="DA53" s="2" t="s">
        <v>172</v>
      </c>
      <c r="DB53" s="2" t="s">
        <v>155</v>
      </c>
      <c r="DC53" s="2" t="s">
        <v>468</v>
      </c>
      <c r="DD53" s="2" t="s">
        <v>311</v>
      </c>
      <c r="DE53" s="2" t="s">
        <v>170</v>
      </c>
      <c r="DF53" s="2" t="s">
        <v>158</v>
      </c>
      <c r="DG53" s="2" t="s">
        <v>440</v>
      </c>
      <c r="DH53" s="2">
        <v>0</v>
      </c>
      <c r="DI53" s="2">
        <v>0</v>
      </c>
      <c r="DJ53" s="2">
        <v>0.9</v>
      </c>
      <c r="DK53" s="2">
        <v>0</v>
      </c>
      <c r="DL53" s="2">
        <v>0</v>
      </c>
      <c r="DM53" s="2">
        <v>0</v>
      </c>
      <c r="DN53" s="2">
        <f t="shared" si="37"/>
        <v>0.9</v>
      </c>
    </row>
    <row r="54" spans="1:126" x14ac:dyDescent="0.25">
      <c r="A54" s="2" t="s">
        <v>434</v>
      </c>
      <c r="B54" s="25">
        <v>50</v>
      </c>
      <c r="C54" s="35">
        <v>43529</v>
      </c>
      <c r="D54" s="35">
        <v>43529</v>
      </c>
      <c r="E5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4" s="2">
        <v>44</v>
      </c>
      <c r="G54" s="2">
        <v>1</v>
      </c>
      <c r="H54" s="47">
        <f>WEEKNUM(tbSabana2016[[#This Row],[Fecha de Inicio]],15)</f>
        <v>10</v>
      </c>
      <c r="I54" s="36" t="str">
        <f>TEXT(tbSabana2016[[#This Row],[Fecha de Inicio]],"dddd")</f>
        <v>martes</v>
      </c>
      <c r="J54" s="36" t="str">
        <f>TEXT(tbSabana2016[[#This Row],[Fecha de Inicio]],"mmmm")</f>
        <v>marzo</v>
      </c>
      <c r="K54" s="37" t="s">
        <v>143</v>
      </c>
      <c r="L54" s="23">
        <v>9</v>
      </c>
      <c r="M54" s="38" t="s">
        <v>144</v>
      </c>
      <c r="N54" s="38" t="s">
        <v>144</v>
      </c>
      <c r="O54" s="38" t="s">
        <v>435</v>
      </c>
      <c r="P54" s="38"/>
      <c r="Q54" s="47">
        <v>19</v>
      </c>
      <c r="R54" s="102">
        <v>1</v>
      </c>
      <c r="S54" s="105">
        <v>15.3</v>
      </c>
      <c r="T54" s="102">
        <v>99</v>
      </c>
      <c r="U54" s="102">
        <v>14</v>
      </c>
      <c r="V54" s="105">
        <v>35.9</v>
      </c>
      <c r="W5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01' 15.30'' W 99° 14' 35.90''</v>
      </c>
      <c r="X54" s="44">
        <v>2453</v>
      </c>
      <c r="Y54" s="19">
        <v>0</v>
      </c>
      <c r="Z54" s="19">
        <v>0</v>
      </c>
      <c r="AA54" s="19">
        <v>0.5</v>
      </c>
      <c r="AB54" s="19">
        <v>0.4</v>
      </c>
      <c r="AC54" s="19">
        <v>0</v>
      </c>
      <c r="AD54" s="19">
        <v>0</v>
      </c>
      <c r="AE54" s="19">
        <f>SUM(tbSabana2016[[#This Row],[Arbolado Adulto (HA)]:[Suelo Orgánico (HA)]])</f>
        <v>0.9</v>
      </c>
      <c r="AF54" s="9">
        <f t="shared" si="32"/>
        <v>354.91999999999996</v>
      </c>
      <c r="AG54" s="9">
        <f>tbSabana2016[[#This Row],[Acumulado (HA)]]/tbSabana2016[[#This Row],[Incendio en el AÑO]]</f>
        <v>7.0983999999999989</v>
      </c>
      <c r="AH54" s="2" t="s">
        <v>147</v>
      </c>
      <c r="AI54" s="2" t="s">
        <v>165</v>
      </c>
      <c r="AJ54" s="2" t="s">
        <v>134</v>
      </c>
      <c r="AK54" s="2" t="s">
        <v>183</v>
      </c>
      <c r="AL54" s="2" t="s">
        <v>150</v>
      </c>
      <c r="AM54" s="2" t="s">
        <v>151</v>
      </c>
      <c r="AN54" s="32">
        <v>43529.597222222219</v>
      </c>
      <c r="AO54" s="32">
        <v>43529.600694444445</v>
      </c>
      <c r="AP54" s="32">
        <v>43529.604166666664</v>
      </c>
      <c r="AQ54" s="32">
        <v>43529.631944444445</v>
      </c>
      <c r="AR54" s="32">
        <v>43529.635416666664</v>
      </c>
      <c r="AS54" s="32"/>
      <c r="AT54" s="32">
        <v>43529.666666666664</v>
      </c>
      <c r="AU54" s="32">
        <v>43529.708333333336</v>
      </c>
      <c r="AV54" s="32">
        <v>43529.75</v>
      </c>
      <c r="AW54" s="40">
        <v>0.1111111111111111</v>
      </c>
      <c r="AX54" s="39">
        <v>3.472222222222222E-3</v>
      </c>
      <c r="AY54" s="39">
        <v>3.125E-2</v>
      </c>
      <c r="AZ54" s="40">
        <f>SUM(tbSabana2016[[#This Row],[Duración]])</f>
        <v>0.1111111111111111</v>
      </c>
      <c r="BA54" s="2">
        <v>0.02</v>
      </c>
      <c r="BB54" s="2">
        <v>0.1</v>
      </c>
      <c r="BC54" s="2">
        <v>0</v>
      </c>
      <c r="BD54" s="2">
        <v>0</v>
      </c>
      <c r="BE54" s="2">
        <v>0.05</v>
      </c>
      <c r="BF54" s="2">
        <v>0</v>
      </c>
      <c r="BG54" s="2">
        <v>0</v>
      </c>
      <c r="BH54" s="2">
        <v>0</v>
      </c>
      <c r="BI54" s="2">
        <v>0</v>
      </c>
      <c r="BJ54" s="2" t="s">
        <v>206</v>
      </c>
      <c r="BK54" s="2">
        <v>0</v>
      </c>
      <c r="BL54" s="2">
        <v>0</v>
      </c>
      <c r="BM54" s="2">
        <v>1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 t="s">
        <v>153</v>
      </c>
      <c r="BT54" s="2">
        <v>10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4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3">
        <f t="shared" si="33"/>
        <v>14</v>
      </c>
      <c r="CO54" s="10">
        <f t="shared" si="34"/>
        <v>647</v>
      </c>
      <c r="CP54" s="10">
        <f t="shared" si="35"/>
        <v>14</v>
      </c>
      <c r="CQ54" s="24">
        <f>SUM(tbSabana2016[[#This Row],[Voluntarios]])</f>
        <v>0</v>
      </c>
      <c r="CR54" s="8">
        <f>tbSabana2016[[#This Row],[CONAFOR (Oficiales)]]*383</f>
        <v>3830</v>
      </c>
      <c r="CS54" s="8">
        <f>(tbSabana2016[[#This Row],[Total (Oficiales)]]-tbSabana2016[[#This Row],[CONAFOR (Oficiales)]])*217</f>
        <v>868</v>
      </c>
      <c r="CT54" s="8">
        <f>SUM(tbSabana2016[[#This Row],[Costo CONAFOR]:[Costo Otros]])</f>
        <v>4698</v>
      </c>
      <c r="CU54" s="8">
        <v>127.93</v>
      </c>
      <c r="CV54" s="8">
        <f t="shared" si="36"/>
        <v>4825.93</v>
      </c>
      <c r="CW54" s="2" t="s">
        <v>154</v>
      </c>
      <c r="CX54" s="2" t="s">
        <v>154</v>
      </c>
      <c r="CY54" s="69" t="s">
        <v>154</v>
      </c>
      <c r="CZ54" s="2" t="s">
        <v>154</v>
      </c>
      <c r="DA54" s="2" t="s">
        <v>172</v>
      </c>
      <c r="DB54" s="2" t="s">
        <v>155</v>
      </c>
      <c r="DC54" s="2" t="s">
        <v>256</v>
      </c>
      <c r="DD54" s="2" t="s">
        <v>257</v>
      </c>
      <c r="DE54" s="2" t="s">
        <v>158</v>
      </c>
      <c r="DF54" s="2" t="s">
        <v>159</v>
      </c>
      <c r="DG54" s="2" t="s">
        <v>160</v>
      </c>
      <c r="DH54" s="2">
        <v>0</v>
      </c>
      <c r="DI54" s="2">
        <v>0</v>
      </c>
      <c r="DJ54" s="2">
        <v>0.5</v>
      </c>
      <c r="DK54" s="2">
        <v>0.4</v>
      </c>
      <c r="DL54" s="2">
        <v>0</v>
      </c>
      <c r="DM54" s="2">
        <v>0</v>
      </c>
      <c r="DN54" s="2">
        <f t="shared" si="37"/>
        <v>0.9</v>
      </c>
    </row>
    <row r="55" spans="1:126" x14ac:dyDescent="0.25">
      <c r="A55" s="2" t="s">
        <v>436</v>
      </c>
      <c r="B55" s="25">
        <v>51</v>
      </c>
      <c r="C55" s="35">
        <v>43530</v>
      </c>
      <c r="D55" s="35">
        <v>43530</v>
      </c>
      <c r="E5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5" s="2">
        <v>45</v>
      </c>
      <c r="G55" s="2">
        <v>1</v>
      </c>
      <c r="H55" s="47">
        <f>WEEKNUM(tbSabana2016[[#This Row],[Fecha de Inicio]],15)</f>
        <v>10</v>
      </c>
      <c r="I55" s="36" t="str">
        <f>TEXT(tbSabana2016[[#This Row],[Fecha de Inicio]],"dddd")</f>
        <v>miércoles</v>
      </c>
      <c r="J55" s="36" t="str">
        <f>TEXT(tbSabana2016[[#This Row],[Fecha de Inicio]],"mmmm")</f>
        <v>marzo</v>
      </c>
      <c r="K55" s="37" t="s">
        <v>143</v>
      </c>
      <c r="L55" s="23">
        <v>9</v>
      </c>
      <c r="M55" s="38" t="s">
        <v>144</v>
      </c>
      <c r="N55" s="38" t="s">
        <v>144</v>
      </c>
      <c r="O55" s="38" t="s">
        <v>437</v>
      </c>
      <c r="P55" s="38" t="s">
        <v>441</v>
      </c>
      <c r="Q55" s="47">
        <v>19</v>
      </c>
      <c r="R55" s="102">
        <v>6</v>
      </c>
      <c r="S55" s="105">
        <v>23.22</v>
      </c>
      <c r="T55" s="102">
        <v>99</v>
      </c>
      <c r="U55" s="102">
        <v>18</v>
      </c>
      <c r="V55" s="105">
        <v>14.43</v>
      </c>
      <c r="W5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06' 23.22'' W 99° 18' 14.43''</v>
      </c>
      <c r="X55" s="44">
        <v>3157</v>
      </c>
      <c r="Y55" s="19">
        <v>0</v>
      </c>
      <c r="Z55" s="19">
        <v>1</v>
      </c>
      <c r="AA55" s="19">
        <v>2.38</v>
      </c>
      <c r="AB55" s="19">
        <v>0</v>
      </c>
      <c r="AC55" s="19">
        <v>0</v>
      </c>
      <c r="AD55" s="19">
        <v>0</v>
      </c>
      <c r="AE55" s="19">
        <f>SUM(tbSabana2016[[#This Row],[Arbolado Adulto (HA)]:[Suelo Orgánico (HA)]])</f>
        <v>3.38</v>
      </c>
      <c r="AF55" s="9">
        <f t="shared" si="32"/>
        <v>358.29999999999995</v>
      </c>
      <c r="AG55" s="9">
        <f>tbSabana2016[[#This Row],[Acumulado (HA)]]/tbSabana2016[[#This Row],[Incendio en el AÑO]]</f>
        <v>7.0254901960784304</v>
      </c>
      <c r="AH55" s="2" t="s">
        <v>147</v>
      </c>
      <c r="AI55" s="2" t="s">
        <v>165</v>
      </c>
      <c r="AJ55" s="2" t="s">
        <v>133</v>
      </c>
      <c r="AK55" s="2" t="s">
        <v>149</v>
      </c>
      <c r="AL55" s="2" t="s">
        <v>150</v>
      </c>
      <c r="AM55" s="2" t="s">
        <v>151</v>
      </c>
      <c r="AN55" s="32">
        <v>43530.611111111109</v>
      </c>
      <c r="AO55" s="32">
        <v>43530.618055555555</v>
      </c>
      <c r="AP55" s="32">
        <v>43530.621527777781</v>
      </c>
      <c r="AQ55" s="32">
        <v>43530.701388888891</v>
      </c>
      <c r="AR55" s="32">
        <v>43530.704861111109</v>
      </c>
      <c r="AS55" s="32"/>
      <c r="AT55" s="32">
        <v>43530.770833333336</v>
      </c>
      <c r="AU55" s="32">
        <v>43530.798611111109</v>
      </c>
      <c r="AV55" s="32">
        <v>43530.895833333336</v>
      </c>
      <c r="AW55" s="40">
        <v>0.1875</v>
      </c>
      <c r="AX55" s="39">
        <v>6.9444444444444441E-3</v>
      </c>
      <c r="AY55" s="39">
        <v>8.3333333333333329E-2</v>
      </c>
      <c r="AZ55" s="40">
        <f>SUM(tbSabana2016[[#This Row],[Duración]])</f>
        <v>0.1875</v>
      </c>
      <c r="BA55" s="2">
        <v>0.08</v>
      </c>
      <c r="BB55" s="2">
        <v>0.4</v>
      </c>
      <c r="BC55" s="2">
        <v>0</v>
      </c>
      <c r="BD55" s="2">
        <v>0</v>
      </c>
      <c r="BE55" s="2">
        <v>0.1</v>
      </c>
      <c r="BF55" s="2">
        <v>0</v>
      </c>
      <c r="BG55" s="2">
        <v>0.2</v>
      </c>
      <c r="BH55" s="2">
        <v>0.5</v>
      </c>
      <c r="BI55" s="2">
        <v>0</v>
      </c>
      <c r="BJ55" s="2" t="s">
        <v>176</v>
      </c>
      <c r="BK55" s="2">
        <v>1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T55" s="2">
        <v>8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3">
        <f t="shared" si="33"/>
        <v>8</v>
      </c>
      <c r="CO55" s="10">
        <f t="shared" si="34"/>
        <v>655</v>
      </c>
      <c r="CP55" s="10">
        <f t="shared" si="35"/>
        <v>8</v>
      </c>
      <c r="CQ55" s="24">
        <f>SUM(tbSabana2016[[#This Row],[Voluntarios]])</f>
        <v>0</v>
      </c>
      <c r="CR55" s="8">
        <f>tbSabana2016[[#This Row],[CONAFOR (Oficiales)]]*383</f>
        <v>3064</v>
      </c>
      <c r="CS55" s="8">
        <f>(tbSabana2016[[#This Row],[Total (Oficiales)]]-tbSabana2016[[#This Row],[CONAFOR (Oficiales)]])*217</f>
        <v>0</v>
      </c>
      <c r="CT55" s="8">
        <f>SUM(tbSabana2016[[#This Row],[Costo CONAFOR]:[Costo Otros]])</f>
        <v>3064</v>
      </c>
      <c r="CU55" s="8">
        <v>423.78</v>
      </c>
      <c r="CV55" s="8">
        <f t="shared" si="36"/>
        <v>3487.7799999999997</v>
      </c>
      <c r="CW55" s="2" t="s">
        <v>154</v>
      </c>
      <c r="CX55" s="2" t="s">
        <v>154</v>
      </c>
      <c r="CY55" s="69" t="s">
        <v>154</v>
      </c>
      <c r="CZ55" s="2" t="s">
        <v>154</v>
      </c>
      <c r="DA55" s="2" t="s">
        <v>172</v>
      </c>
      <c r="DB55" s="2" t="s">
        <v>155</v>
      </c>
      <c r="DC55" s="2" t="s">
        <v>256</v>
      </c>
      <c r="DD55" s="2" t="s">
        <v>257</v>
      </c>
      <c r="DE55" s="2" t="s">
        <v>158</v>
      </c>
      <c r="DF55" s="2" t="s">
        <v>159</v>
      </c>
      <c r="DG55" s="2" t="s">
        <v>160</v>
      </c>
      <c r="DH55" s="2">
        <v>0</v>
      </c>
      <c r="DI55" s="2">
        <v>1</v>
      </c>
      <c r="DJ55" s="2">
        <v>2.38</v>
      </c>
      <c r="DK55" s="2">
        <v>0</v>
      </c>
      <c r="DL55" s="2">
        <v>0</v>
      </c>
      <c r="DM55" s="2">
        <v>0</v>
      </c>
      <c r="DN55" s="2">
        <f t="shared" si="37"/>
        <v>3.38</v>
      </c>
    </row>
    <row r="56" spans="1:126" x14ac:dyDescent="0.25">
      <c r="A56" s="2" t="s">
        <v>442</v>
      </c>
      <c r="B56" s="25">
        <v>52</v>
      </c>
      <c r="C56" s="35">
        <v>43531</v>
      </c>
      <c r="D56" s="35">
        <v>43531</v>
      </c>
      <c r="E5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6" s="2">
        <v>46</v>
      </c>
      <c r="G56" s="2">
        <v>1</v>
      </c>
      <c r="H56" s="47">
        <f>WEEKNUM(tbSabana2016[[#This Row],[Fecha de Inicio]],15)</f>
        <v>10</v>
      </c>
      <c r="I56" s="36" t="str">
        <f>TEXT(tbSabana2016[[#This Row],[Fecha de Inicio]],"dddd")</f>
        <v>jueves</v>
      </c>
      <c r="J56" s="36" t="str">
        <f>TEXT(tbSabana2016[[#This Row],[Fecha de Inicio]],"mmmm")</f>
        <v>marzo</v>
      </c>
      <c r="K56" s="37" t="s">
        <v>143</v>
      </c>
      <c r="L56" s="23">
        <v>29</v>
      </c>
      <c r="M56" s="38" t="s">
        <v>231</v>
      </c>
      <c r="N56" s="38" t="s">
        <v>445</v>
      </c>
      <c r="O56" s="38" t="s">
        <v>502</v>
      </c>
      <c r="P56" s="38" t="s">
        <v>441</v>
      </c>
      <c r="Q56" s="47">
        <v>18</v>
      </c>
      <c r="R56" s="102">
        <v>52</v>
      </c>
      <c r="S56" s="105">
        <v>30.9</v>
      </c>
      <c r="T56" s="102">
        <v>99</v>
      </c>
      <c r="U56" s="102">
        <v>6</v>
      </c>
      <c r="V56" s="105">
        <v>28.1</v>
      </c>
      <c r="W5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52' 30.90'' W 99° 06' 28.10''</v>
      </c>
      <c r="X56" s="44">
        <v>1421</v>
      </c>
      <c r="Y56" s="19">
        <v>0</v>
      </c>
      <c r="Z56" s="19">
        <v>0</v>
      </c>
      <c r="AA56" s="19">
        <v>0.4</v>
      </c>
      <c r="AB56" s="19">
        <v>0.5</v>
      </c>
      <c r="AC56" s="19">
        <v>0</v>
      </c>
      <c r="AD56" s="19">
        <v>0</v>
      </c>
      <c r="AE56" s="19">
        <f>SUM(tbSabana2016[[#This Row],[Arbolado Adulto (HA)]:[Suelo Orgánico (HA)]])</f>
        <v>0.9</v>
      </c>
      <c r="AF56" s="9">
        <f t="shared" ref="AF56:AF76" si="38">SUM(AF55,AE56)</f>
        <v>359.19999999999993</v>
      </c>
      <c r="AG56" s="9">
        <f>tbSabana2016[[#This Row],[Acumulado (HA)]]/tbSabana2016[[#This Row],[Incendio en el AÑO]]</f>
        <v>6.9076923076923062</v>
      </c>
      <c r="AH56" s="2" t="s">
        <v>147</v>
      </c>
      <c r="AI56" s="2" t="s">
        <v>283</v>
      </c>
      <c r="AJ56" s="2" t="s">
        <v>134</v>
      </c>
      <c r="AK56" s="2" t="s">
        <v>183</v>
      </c>
      <c r="AL56" s="2" t="s">
        <v>150</v>
      </c>
      <c r="AM56" s="2" t="s">
        <v>151</v>
      </c>
      <c r="AN56" s="32">
        <v>43531.659722222219</v>
      </c>
      <c r="AO56" s="32">
        <v>43531.663194444445</v>
      </c>
      <c r="AP56" s="32">
        <v>43531.666666666664</v>
      </c>
      <c r="AQ56" s="32">
        <v>43531.715277777781</v>
      </c>
      <c r="AR56" s="32">
        <v>43531.722222222219</v>
      </c>
      <c r="AS56" s="32"/>
      <c r="AT56" s="32">
        <v>43531.756944444445</v>
      </c>
      <c r="AU56" s="32">
        <v>43531.795138888891</v>
      </c>
      <c r="AV56" s="32">
        <v>43531.854166666664</v>
      </c>
      <c r="AW56" s="40">
        <v>0.13541666666666666</v>
      </c>
      <c r="AX56" s="39">
        <v>3.472222222222222E-3</v>
      </c>
      <c r="AY56" s="39">
        <v>5.2083333333333336E-2</v>
      </c>
      <c r="AZ56" s="40">
        <f>SUM(tbSabana2016[[#This Row],[Duración]])</f>
        <v>0.13541666666666666</v>
      </c>
      <c r="BA56" s="2">
        <v>0.2</v>
      </c>
      <c r="BB56" s="2">
        <v>0</v>
      </c>
      <c r="BC56" s="2">
        <v>0</v>
      </c>
      <c r="BD56" s="2">
        <v>0</v>
      </c>
      <c r="BE56" s="2">
        <v>0.1</v>
      </c>
      <c r="BF56" s="2">
        <v>0</v>
      </c>
      <c r="BG56" s="2">
        <v>0.3</v>
      </c>
      <c r="BH56" s="2">
        <v>0.3</v>
      </c>
      <c r="BI56" s="2">
        <v>0</v>
      </c>
      <c r="BJ56" s="2" t="s">
        <v>181</v>
      </c>
      <c r="BK56" s="2">
        <v>0</v>
      </c>
      <c r="BL56" s="2">
        <v>1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T56" s="2">
        <v>8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3">
        <f t="shared" ref="CN56:CN62" si="39">SUM(BT56:CM56)</f>
        <v>8</v>
      </c>
      <c r="CO56" s="10">
        <f t="shared" ref="CO56:CO82" si="40">SUM(CO55,CN56)</f>
        <v>663</v>
      </c>
      <c r="CP56" s="10">
        <f t="shared" ref="CP56:CP62" si="41">SUM(BT56:CG56,CI56:CM56)</f>
        <v>8</v>
      </c>
      <c r="CQ56" s="24">
        <f>SUM(tbSabana2016[[#This Row],[Voluntarios]])</f>
        <v>0</v>
      </c>
      <c r="CR56" s="8">
        <f>tbSabana2016[[#This Row],[CONAFOR (Oficiales)]]*383</f>
        <v>3064</v>
      </c>
      <c r="CS56" s="8">
        <f>(tbSabana2016[[#This Row],[Total (Oficiales)]]-tbSabana2016[[#This Row],[CONAFOR (Oficiales)]])*217</f>
        <v>0</v>
      </c>
      <c r="CT56" s="8">
        <f>SUM(tbSabana2016[[#This Row],[Costo CONAFOR]:[Costo Otros]])</f>
        <v>3064</v>
      </c>
      <c r="CU56" s="8">
        <v>323</v>
      </c>
      <c r="CV56" s="8">
        <f t="shared" ref="CV56:CV62" si="42">SUM(CT56:CU56)</f>
        <v>3387</v>
      </c>
      <c r="CW56" s="2" t="s">
        <v>154</v>
      </c>
      <c r="CX56" s="2" t="s">
        <v>154</v>
      </c>
      <c r="CY56" s="69" t="s">
        <v>154</v>
      </c>
      <c r="CZ56" s="2" t="s">
        <v>154</v>
      </c>
      <c r="DA56" s="2" t="s">
        <v>172</v>
      </c>
      <c r="DB56" s="2" t="s">
        <v>155</v>
      </c>
      <c r="DC56" s="2" t="s">
        <v>168</v>
      </c>
      <c r="DD56" s="2" t="s">
        <v>169</v>
      </c>
      <c r="DE56" s="2" t="s">
        <v>267</v>
      </c>
      <c r="DF56" s="2" t="s">
        <v>159</v>
      </c>
      <c r="DG56" s="2" t="s">
        <v>268</v>
      </c>
      <c r="DH56" s="2">
        <v>0</v>
      </c>
      <c r="DI56" s="2">
        <v>0</v>
      </c>
      <c r="DJ56" s="2">
        <v>0.4</v>
      </c>
      <c r="DK56" s="2">
        <v>0.5</v>
      </c>
      <c r="DL56" s="2">
        <v>0</v>
      </c>
      <c r="DM56" s="2">
        <v>0</v>
      </c>
      <c r="DN56" s="2">
        <f t="shared" ref="DN56:DN62" si="43">SUM(DH56:DM56)</f>
        <v>0.9</v>
      </c>
    </row>
    <row r="57" spans="1:126" x14ac:dyDescent="0.25">
      <c r="A57" s="2" t="s">
        <v>443</v>
      </c>
      <c r="B57" s="25">
        <v>53</v>
      </c>
      <c r="C57" s="35">
        <v>43531</v>
      </c>
      <c r="D57" s="35">
        <v>43531</v>
      </c>
      <c r="E5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7" s="2">
        <v>47</v>
      </c>
      <c r="G57" s="2">
        <v>1</v>
      </c>
      <c r="H57" s="47">
        <f>WEEKNUM(tbSabana2016[[#This Row],[Fecha de Inicio]],15)</f>
        <v>10</v>
      </c>
      <c r="I57" s="36" t="str">
        <f>TEXT(tbSabana2016[[#This Row],[Fecha de Inicio]],"dddd")</f>
        <v>jueves</v>
      </c>
      <c r="J57" s="36" t="str">
        <f>TEXT(tbSabana2016[[#This Row],[Fecha de Inicio]],"mmmm")</f>
        <v>marzo</v>
      </c>
      <c r="K57" s="37" t="s">
        <v>143</v>
      </c>
      <c r="L57" s="23">
        <v>9</v>
      </c>
      <c r="M57" s="38" t="s">
        <v>144</v>
      </c>
      <c r="N57" s="38" t="s">
        <v>144</v>
      </c>
      <c r="O57" s="38" t="s">
        <v>444</v>
      </c>
      <c r="P57" s="38" t="s">
        <v>146</v>
      </c>
      <c r="Q57" s="47">
        <v>19</v>
      </c>
      <c r="R57" s="102">
        <v>6</v>
      </c>
      <c r="S57" s="105">
        <v>32.1</v>
      </c>
      <c r="T57" s="102">
        <v>99</v>
      </c>
      <c r="U57" s="102">
        <v>17</v>
      </c>
      <c r="V57" s="105">
        <v>52.7</v>
      </c>
      <c r="W5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06' 32.10'' W 99° 17' 52.70''</v>
      </c>
      <c r="X57" s="44">
        <v>3134</v>
      </c>
      <c r="Y57" s="19">
        <v>0</v>
      </c>
      <c r="Z57" s="19">
        <v>0</v>
      </c>
      <c r="AA57" s="19">
        <v>0.5</v>
      </c>
      <c r="AB57" s="19">
        <v>0.4</v>
      </c>
      <c r="AC57" s="19">
        <v>0</v>
      </c>
      <c r="AD57" s="19">
        <v>0</v>
      </c>
      <c r="AE57" s="19">
        <f>SUM(tbSabana2016[[#This Row],[Arbolado Adulto (HA)]:[Suelo Orgánico (HA)]])</f>
        <v>0.9</v>
      </c>
      <c r="AF57" s="9">
        <f t="shared" si="38"/>
        <v>360.09999999999991</v>
      </c>
      <c r="AG57" s="9">
        <f>tbSabana2016[[#This Row],[Acumulado (HA)]]/tbSabana2016[[#This Row],[Incendio en el AÑO]]</f>
        <v>6.794339622641508</v>
      </c>
      <c r="AH57" s="2" t="s">
        <v>147</v>
      </c>
      <c r="AI57" s="2" t="s">
        <v>165</v>
      </c>
      <c r="AJ57" s="2" t="s">
        <v>133</v>
      </c>
      <c r="AK57" s="2" t="s">
        <v>149</v>
      </c>
      <c r="AL57" s="2" t="s">
        <v>150</v>
      </c>
      <c r="AM57" s="2" t="s">
        <v>151</v>
      </c>
      <c r="AN57" s="32">
        <v>43531.677083333336</v>
      </c>
      <c r="AO57" s="32">
        <v>43531.679166666669</v>
      </c>
      <c r="AP57" s="32">
        <v>43531.680555555555</v>
      </c>
      <c r="AQ57" s="32">
        <v>43531.743055555555</v>
      </c>
      <c r="AR57" s="32">
        <v>43531.746527777781</v>
      </c>
      <c r="AS57" s="32"/>
      <c r="AT57" s="32">
        <v>43531.791666666664</v>
      </c>
      <c r="AU57" s="32">
        <v>43531.833333333336</v>
      </c>
      <c r="AV57" s="32">
        <v>43531.895833333336</v>
      </c>
      <c r="AW57" s="40">
        <v>0.15625</v>
      </c>
      <c r="AX57" s="39">
        <v>2.0833333333333333E-3</v>
      </c>
      <c r="AY57" s="39">
        <v>6.3888888888888884E-2</v>
      </c>
      <c r="AZ57" s="40">
        <f>SUM(tbSabana2016[[#This Row],[Duración]])</f>
        <v>0.15625</v>
      </c>
      <c r="BA57" s="2">
        <v>0.05</v>
      </c>
      <c r="BB57" s="2">
        <v>7.0000000000000007E-2</v>
      </c>
      <c r="BC57" s="2">
        <v>0</v>
      </c>
      <c r="BD57" s="2">
        <v>0</v>
      </c>
      <c r="BE57" s="2">
        <v>0.04</v>
      </c>
      <c r="BF57" s="2">
        <v>0</v>
      </c>
      <c r="BG57" s="2">
        <v>0.08</v>
      </c>
      <c r="BH57" s="2">
        <v>0.1</v>
      </c>
      <c r="BI57" s="2">
        <v>0</v>
      </c>
      <c r="BJ57" s="2" t="s">
        <v>179</v>
      </c>
      <c r="BK57" s="2">
        <v>0</v>
      </c>
      <c r="BL57" s="2">
        <v>0</v>
      </c>
      <c r="BM57" s="2">
        <v>0</v>
      </c>
      <c r="BN57" s="2">
        <v>1</v>
      </c>
      <c r="BO57" s="2">
        <v>0</v>
      </c>
      <c r="BP57" s="2">
        <v>0</v>
      </c>
      <c r="BQ57" s="2">
        <v>0</v>
      </c>
      <c r="BR57" s="2">
        <v>0</v>
      </c>
      <c r="BT57" s="2">
        <v>10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3">
        <f t="shared" si="39"/>
        <v>10</v>
      </c>
      <c r="CO57" s="10">
        <f t="shared" si="40"/>
        <v>673</v>
      </c>
      <c r="CP57" s="10">
        <f t="shared" si="41"/>
        <v>10</v>
      </c>
      <c r="CQ57" s="24">
        <f>SUM(tbSabana2016[[#This Row],[Voluntarios]])</f>
        <v>0</v>
      </c>
      <c r="CR57" s="8">
        <f>tbSabana2016[[#This Row],[CONAFOR (Oficiales)]]*383</f>
        <v>3830</v>
      </c>
      <c r="CS57" s="8">
        <f>(tbSabana2016[[#This Row],[Total (Oficiales)]]-tbSabana2016[[#This Row],[CONAFOR (Oficiales)]])*217</f>
        <v>0</v>
      </c>
      <c r="CT57" s="8">
        <f>SUM(tbSabana2016[[#This Row],[Costo CONAFOR]:[Costo Otros]])</f>
        <v>3830</v>
      </c>
      <c r="CU57" s="8">
        <v>380</v>
      </c>
      <c r="CV57" s="8">
        <f t="shared" si="42"/>
        <v>4210</v>
      </c>
      <c r="CW57" s="2" t="s">
        <v>154</v>
      </c>
      <c r="CX57" s="2" t="s">
        <v>154</v>
      </c>
      <c r="CY57" s="69" t="s">
        <v>154</v>
      </c>
      <c r="CZ57" s="2" t="s">
        <v>154</v>
      </c>
      <c r="DA57" s="2" t="s">
        <v>172</v>
      </c>
      <c r="DB57" s="2" t="s">
        <v>155</v>
      </c>
      <c r="DC57" s="2" t="s">
        <v>362</v>
      </c>
      <c r="DD57" s="2" t="s">
        <v>370</v>
      </c>
      <c r="DE57" s="2" t="s">
        <v>158</v>
      </c>
      <c r="DF57" s="2" t="s">
        <v>159</v>
      </c>
      <c r="DG57" s="2" t="s">
        <v>160</v>
      </c>
      <c r="DH57" s="2">
        <v>0</v>
      </c>
      <c r="DI57" s="2">
        <v>0</v>
      </c>
      <c r="DJ57" s="2">
        <v>0.5</v>
      </c>
      <c r="DK57" s="2">
        <v>0.4</v>
      </c>
      <c r="DL57" s="2">
        <v>0</v>
      </c>
      <c r="DM57" s="2">
        <v>0</v>
      </c>
      <c r="DN57" s="2">
        <f t="shared" si="43"/>
        <v>0.9</v>
      </c>
    </row>
    <row r="58" spans="1:126" x14ac:dyDescent="0.25">
      <c r="A58" s="2" t="s">
        <v>446</v>
      </c>
      <c r="B58" s="25">
        <v>54</v>
      </c>
      <c r="C58" s="35">
        <v>43532</v>
      </c>
      <c r="D58" s="35">
        <v>43532</v>
      </c>
      <c r="E5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8" s="2">
        <v>48</v>
      </c>
      <c r="G58" s="2">
        <v>1</v>
      </c>
      <c r="H58" s="47">
        <f>WEEKNUM(tbSabana2016[[#This Row],[Fecha de Inicio]],15)</f>
        <v>11</v>
      </c>
      <c r="I58" s="36" t="str">
        <f>TEXT(tbSabana2016[[#This Row],[Fecha de Inicio]],"dddd")</f>
        <v>viernes</v>
      </c>
      <c r="J58" s="36" t="str">
        <f>TEXT(tbSabana2016[[#This Row],[Fecha de Inicio]],"mmmm")</f>
        <v>marzo</v>
      </c>
      <c r="K58" s="37" t="s">
        <v>143</v>
      </c>
      <c r="L58" s="23">
        <v>20</v>
      </c>
      <c r="M58" s="38" t="s">
        <v>162</v>
      </c>
      <c r="N58" s="38" t="s">
        <v>212</v>
      </c>
      <c r="O58" s="38" t="s">
        <v>448</v>
      </c>
      <c r="P58" s="38"/>
      <c r="Q58" s="47">
        <v>18</v>
      </c>
      <c r="R58" s="102">
        <v>56</v>
      </c>
      <c r="S58" s="105">
        <v>45.19</v>
      </c>
      <c r="T58" s="102">
        <v>99</v>
      </c>
      <c r="U58" s="102">
        <v>3</v>
      </c>
      <c r="V58" s="105">
        <v>25.49</v>
      </c>
      <c r="W5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45.19'' W 99° 03' 25.49''</v>
      </c>
      <c r="X58" s="44">
        <v>1437</v>
      </c>
      <c r="Y58" s="19">
        <v>0</v>
      </c>
      <c r="Z58" s="19">
        <v>0</v>
      </c>
      <c r="AA58" s="19">
        <v>6.49</v>
      </c>
      <c r="AB58" s="19">
        <v>15</v>
      </c>
      <c r="AC58" s="19">
        <v>0</v>
      </c>
      <c r="AD58" s="19">
        <v>0</v>
      </c>
      <c r="AE58" s="19">
        <f>SUM(tbSabana2016[[#This Row],[Arbolado Adulto (HA)]:[Suelo Orgánico (HA)]])</f>
        <v>21.490000000000002</v>
      </c>
      <c r="AF58" s="9">
        <f t="shared" si="38"/>
        <v>381.58999999999992</v>
      </c>
      <c r="AG58" s="9">
        <f>tbSabana2016[[#This Row],[Acumulado (HA)]]/tbSabana2016[[#This Row],[Incendio en el AÑO]]</f>
        <v>7.06648148148148</v>
      </c>
      <c r="AH58" s="2" t="s">
        <v>147</v>
      </c>
      <c r="AI58" s="2" t="s">
        <v>165</v>
      </c>
      <c r="AJ58" s="2" t="s">
        <v>134</v>
      </c>
      <c r="AK58" s="2" t="s">
        <v>183</v>
      </c>
      <c r="AL58" s="2" t="s">
        <v>150</v>
      </c>
      <c r="AM58" s="2" t="s">
        <v>151</v>
      </c>
      <c r="AN58" s="32">
        <v>43532.513888888891</v>
      </c>
      <c r="AO58" s="32">
        <v>43532.517361111109</v>
      </c>
      <c r="AP58" s="32">
        <v>43532.520833333336</v>
      </c>
      <c r="AQ58" s="32">
        <v>43532.548611111109</v>
      </c>
      <c r="AR58" s="32">
        <v>43532.552083333336</v>
      </c>
      <c r="AS58" s="32"/>
      <c r="AT58" s="32">
        <v>43532.6875</v>
      </c>
      <c r="AU58" s="32">
        <v>43532.75</v>
      </c>
      <c r="AV58" s="32">
        <v>43532.791666666664</v>
      </c>
      <c r="AW58" s="40">
        <v>0.23611111111111113</v>
      </c>
      <c r="AX58" s="39">
        <v>3.472222222222222E-3</v>
      </c>
      <c r="AY58" s="39">
        <v>3.125E-2</v>
      </c>
      <c r="AZ58" s="40">
        <f>SUM(tbSabana2016[[#This Row],[Duración]])</f>
        <v>0.23611111111111113</v>
      </c>
      <c r="BA58" s="2">
        <v>0.6</v>
      </c>
      <c r="BB58" s="2">
        <v>0.8</v>
      </c>
      <c r="BC58" s="2">
        <v>0</v>
      </c>
      <c r="BD58" s="2">
        <v>0</v>
      </c>
      <c r="BE58" s="2">
        <v>0.5</v>
      </c>
      <c r="BF58" s="2">
        <v>0</v>
      </c>
      <c r="BG58" s="2">
        <v>0</v>
      </c>
      <c r="BH58" s="2">
        <v>1</v>
      </c>
      <c r="BI58" s="2">
        <v>0</v>
      </c>
      <c r="BJ58" s="2" t="s">
        <v>206</v>
      </c>
      <c r="BK58" s="2">
        <v>0</v>
      </c>
      <c r="BL58" s="2">
        <v>0</v>
      </c>
      <c r="BM58" s="2">
        <v>1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 t="s">
        <v>252</v>
      </c>
      <c r="BT58" s="2">
        <v>10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12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3">
        <f t="shared" si="39"/>
        <v>22</v>
      </c>
      <c r="CO58" s="10">
        <f t="shared" si="40"/>
        <v>695</v>
      </c>
      <c r="CP58" s="10">
        <f t="shared" si="41"/>
        <v>22</v>
      </c>
      <c r="CQ58" s="24">
        <f>SUM(tbSabana2016[[#This Row],[Voluntarios]])</f>
        <v>0</v>
      </c>
      <c r="CR58" s="8">
        <f>tbSabana2016[[#This Row],[CONAFOR (Oficiales)]]*383</f>
        <v>3830</v>
      </c>
      <c r="CS58" s="8">
        <f>(tbSabana2016[[#This Row],[Total (Oficiales)]]-tbSabana2016[[#This Row],[CONAFOR (Oficiales)]])*217</f>
        <v>2604</v>
      </c>
      <c r="CT58" s="8">
        <f>SUM(tbSabana2016[[#This Row],[Costo CONAFOR]:[Costo Otros]])</f>
        <v>6434</v>
      </c>
      <c r="CU58" s="8">
        <v>380</v>
      </c>
      <c r="CV58" s="8">
        <f t="shared" si="42"/>
        <v>6814</v>
      </c>
      <c r="CW58" s="2" t="s">
        <v>154</v>
      </c>
      <c r="CX58" s="2" t="s">
        <v>154</v>
      </c>
      <c r="CY58" s="69" t="s">
        <v>154</v>
      </c>
      <c r="CZ58" s="2" t="s">
        <v>154</v>
      </c>
      <c r="DA58" s="2" t="s">
        <v>172</v>
      </c>
      <c r="DB58" s="2" t="s">
        <v>155</v>
      </c>
      <c r="DC58" s="2" t="s">
        <v>168</v>
      </c>
      <c r="DD58" s="2" t="s">
        <v>169</v>
      </c>
      <c r="DE58" s="2" t="s">
        <v>158</v>
      </c>
      <c r="DF58" s="2" t="s">
        <v>159</v>
      </c>
      <c r="DG58" s="2" t="s">
        <v>160</v>
      </c>
      <c r="DH58" s="2">
        <v>0</v>
      </c>
      <c r="DI58" s="2">
        <v>0</v>
      </c>
      <c r="DJ58" s="2">
        <v>0.79</v>
      </c>
      <c r="DK58" s="2">
        <v>3</v>
      </c>
      <c r="DL58" s="2">
        <v>0</v>
      </c>
      <c r="DM58" s="2">
        <v>0</v>
      </c>
      <c r="DN58" s="2">
        <f t="shared" si="43"/>
        <v>3.79</v>
      </c>
    </row>
    <row r="59" spans="1:126" x14ac:dyDescent="0.25">
      <c r="A59" s="2" t="s">
        <v>447</v>
      </c>
      <c r="B59" s="25">
        <v>55</v>
      </c>
      <c r="C59" s="35">
        <v>43532</v>
      </c>
      <c r="D59" s="35">
        <v>43532</v>
      </c>
      <c r="E5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59" s="2">
        <v>49</v>
      </c>
      <c r="G59" s="2">
        <v>1</v>
      </c>
      <c r="H59" s="47">
        <f>WEEKNUM(tbSabana2016[[#This Row],[Fecha de Inicio]],15)</f>
        <v>11</v>
      </c>
      <c r="I59" s="36" t="str">
        <f>TEXT(tbSabana2016[[#This Row],[Fecha de Inicio]],"dddd")</f>
        <v>viernes</v>
      </c>
      <c r="J59" s="36" t="str">
        <f>TEXT(tbSabana2016[[#This Row],[Fecha de Inicio]],"mmmm")</f>
        <v>marzo</v>
      </c>
      <c r="K59" s="37" t="s">
        <v>143</v>
      </c>
      <c r="L59" s="23">
        <v>9</v>
      </c>
      <c r="M59" s="38" t="s">
        <v>144</v>
      </c>
      <c r="N59" s="38" t="s">
        <v>144</v>
      </c>
      <c r="O59" s="38" t="s">
        <v>303</v>
      </c>
      <c r="P59" s="38" t="s">
        <v>219</v>
      </c>
      <c r="Q59" s="47">
        <v>19</v>
      </c>
      <c r="R59" s="102">
        <v>4</v>
      </c>
      <c r="S59" s="105">
        <v>31.12</v>
      </c>
      <c r="T59" s="102">
        <v>99</v>
      </c>
      <c r="U59" s="102">
        <v>15</v>
      </c>
      <c r="V59" s="105">
        <v>54.04</v>
      </c>
      <c r="W5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31.12'' W 99° 15' 54.04''</v>
      </c>
      <c r="X59" s="44">
        <v>2920</v>
      </c>
      <c r="Y59" s="19">
        <v>0</v>
      </c>
      <c r="Z59" s="19">
        <v>0</v>
      </c>
      <c r="AA59" s="19">
        <v>1</v>
      </c>
      <c r="AB59" s="19">
        <v>1.22</v>
      </c>
      <c r="AC59" s="19">
        <v>2</v>
      </c>
      <c r="AD59" s="19">
        <v>0</v>
      </c>
      <c r="AE59" s="19">
        <f>SUM(tbSabana2016[[#This Row],[Arbolado Adulto (HA)]:[Suelo Orgánico (HA)]])</f>
        <v>4.22</v>
      </c>
      <c r="AF59" s="9">
        <f t="shared" si="38"/>
        <v>385.80999999999995</v>
      </c>
      <c r="AG59" s="9">
        <f>tbSabana2016[[#This Row],[Acumulado (HA)]]/tbSabana2016[[#This Row],[Incendio en el AÑO]]</f>
        <v>7.0147272727272716</v>
      </c>
      <c r="AH59" s="2" t="s">
        <v>147</v>
      </c>
      <c r="AI59" s="2" t="s">
        <v>283</v>
      </c>
      <c r="AJ59" s="2" t="s">
        <v>449</v>
      </c>
      <c r="AK59" s="2" t="s">
        <v>166</v>
      </c>
      <c r="AL59" s="2" t="s">
        <v>150</v>
      </c>
      <c r="AM59" s="2" t="s">
        <v>151</v>
      </c>
      <c r="AN59" s="32">
        <v>43532.576388888891</v>
      </c>
      <c r="AO59" s="32">
        <v>43532.579861111109</v>
      </c>
      <c r="AP59" s="32">
        <v>43532.583333333336</v>
      </c>
      <c r="AQ59" s="32">
        <v>43532.638888888891</v>
      </c>
      <c r="AR59" s="32">
        <v>43532.642361111109</v>
      </c>
      <c r="AS59" s="32"/>
      <c r="AT59" s="32">
        <v>43532.75</v>
      </c>
      <c r="AU59" s="32">
        <v>43532.795138888891</v>
      </c>
      <c r="AV59" s="32">
        <v>43532.854166666664</v>
      </c>
      <c r="AW59" s="40">
        <v>0.21875</v>
      </c>
      <c r="AX59" s="39">
        <v>3.472222222222222E-3</v>
      </c>
      <c r="AY59" s="39">
        <v>5.9027777777777783E-2</v>
      </c>
      <c r="AZ59" s="40">
        <f>SUM(tbSabana2016[[#This Row],[Duración]])</f>
        <v>0.21875</v>
      </c>
      <c r="BA59" s="2">
        <v>0.6</v>
      </c>
      <c r="BB59" s="2">
        <v>0.4</v>
      </c>
      <c r="BC59" s="2">
        <v>0</v>
      </c>
      <c r="BD59" s="2">
        <v>0</v>
      </c>
      <c r="BE59" s="2">
        <v>0.5</v>
      </c>
      <c r="BF59" s="2">
        <v>0</v>
      </c>
      <c r="BG59" s="2">
        <v>0.8</v>
      </c>
      <c r="BH59" s="2">
        <v>0.9</v>
      </c>
      <c r="BI59" s="2">
        <v>0</v>
      </c>
      <c r="BJ59" s="2" t="s">
        <v>181</v>
      </c>
      <c r="BK59" s="2">
        <v>0</v>
      </c>
      <c r="BL59" s="2">
        <v>1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T59" s="2">
        <v>8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3">
        <f t="shared" si="39"/>
        <v>8</v>
      </c>
      <c r="CO59" s="10">
        <f t="shared" si="40"/>
        <v>703</v>
      </c>
      <c r="CP59" s="10">
        <f t="shared" si="41"/>
        <v>8</v>
      </c>
      <c r="CQ59" s="24">
        <f>SUM(tbSabana2016[[#This Row],[Voluntarios]])</f>
        <v>0</v>
      </c>
      <c r="CR59" s="8">
        <f>tbSabana2016[[#This Row],[CONAFOR (Oficiales)]]*383</f>
        <v>3064</v>
      </c>
      <c r="CS59" s="8">
        <f>(tbSabana2016[[#This Row],[Total (Oficiales)]]-tbSabana2016[[#This Row],[CONAFOR (Oficiales)]])*217</f>
        <v>0</v>
      </c>
      <c r="CT59" s="8">
        <f>SUM(tbSabana2016[[#This Row],[Costo CONAFOR]:[Costo Otros]])</f>
        <v>3064</v>
      </c>
      <c r="CU59" s="8">
        <v>209</v>
      </c>
      <c r="CV59" s="8">
        <f t="shared" si="42"/>
        <v>3273</v>
      </c>
      <c r="CW59" s="2" t="s">
        <v>154</v>
      </c>
      <c r="CX59" s="2" t="s">
        <v>154</v>
      </c>
      <c r="CY59" s="69" t="s">
        <v>154</v>
      </c>
      <c r="CZ59" s="2" t="s">
        <v>154</v>
      </c>
      <c r="DA59" s="2" t="s">
        <v>172</v>
      </c>
      <c r="DB59" s="2" t="s">
        <v>155</v>
      </c>
      <c r="DC59" s="2" t="s">
        <v>468</v>
      </c>
      <c r="DD59" s="2" t="s">
        <v>311</v>
      </c>
      <c r="DE59" s="2" t="s">
        <v>158</v>
      </c>
      <c r="DF59" s="2" t="s">
        <v>159</v>
      </c>
      <c r="DG59" s="2" t="s">
        <v>160</v>
      </c>
      <c r="DH59" s="2">
        <v>0</v>
      </c>
      <c r="DI59" s="2">
        <v>0</v>
      </c>
      <c r="DJ59" s="2">
        <v>1</v>
      </c>
      <c r="DK59" s="2">
        <v>1.22</v>
      </c>
      <c r="DL59" s="2">
        <v>2</v>
      </c>
      <c r="DM59" s="2">
        <v>0</v>
      </c>
      <c r="DN59" s="2">
        <f t="shared" si="43"/>
        <v>4.22</v>
      </c>
    </row>
    <row r="60" spans="1:126" x14ac:dyDescent="0.25">
      <c r="A60" s="2" t="s">
        <v>450</v>
      </c>
      <c r="B60" s="25">
        <v>56</v>
      </c>
      <c r="C60" s="35">
        <v>43533</v>
      </c>
      <c r="D60" s="35">
        <v>43533</v>
      </c>
      <c r="E6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0" s="2">
        <v>50</v>
      </c>
      <c r="G60" s="2">
        <v>1</v>
      </c>
      <c r="H60" s="47">
        <f>WEEKNUM(tbSabana2016[[#This Row],[Fecha de Inicio]],15)</f>
        <v>11</v>
      </c>
      <c r="I60" s="36" t="str">
        <f>TEXT(tbSabana2016[[#This Row],[Fecha de Inicio]],"dddd")</f>
        <v>sábado</v>
      </c>
      <c r="J60" s="36" t="str">
        <f>TEXT(tbSabana2016[[#This Row],[Fecha de Inicio]],"mmmm")</f>
        <v>marzo</v>
      </c>
      <c r="K60" s="37" t="s">
        <v>143</v>
      </c>
      <c r="L60" s="23">
        <v>9</v>
      </c>
      <c r="M60" s="38" t="s">
        <v>144</v>
      </c>
      <c r="N60" s="38" t="s">
        <v>144</v>
      </c>
      <c r="O60" s="38" t="s">
        <v>454</v>
      </c>
      <c r="P60" s="38" t="s">
        <v>453</v>
      </c>
      <c r="Q60" s="47">
        <v>19</v>
      </c>
      <c r="R60" s="102">
        <v>1</v>
      </c>
      <c r="S60" s="105">
        <v>25.1</v>
      </c>
      <c r="T60" s="102">
        <v>99</v>
      </c>
      <c r="U60" s="102">
        <v>17</v>
      </c>
      <c r="V60" s="105">
        <v>2.6</v>
      </c>
      <c r="W6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01' 25.10'' W 99° 17' 02.60''</v>
      </c>
      <c r="X60" s="44">
        <v>2550</v>
      </c>
      <c r="Y60" s="19">
        <v>0</v>
      </c>
      <c r="Z60" s="19">
        <v>0</v>
      </c>
      <c r="AA60" s="19">
        <v>0</v>
      </c>
      <c r="AB60" s="19">
        <v>0</v>
      </c>
      <c r="AC60" s="19">
        <v>0.9</v>
      </c>
      <c r="AD60" s="19">
        <v>0</v>
      </c>
      <c r="AE60" s="19">
        <f>SUM(tbSabana2016[[#This Row],[Arbolado Adulto (HA)]:[Suelo Orgánico (HA)]])</f>
        <v>0.9</v>
      </c>
      <c r="AF60" s="9">
        <f t="shared" si="38"/>
        <v>386.70999999999992</v>
      </c>
      <c r="AG60" s="9">
        <f>tbSabana2016[[#This Row],[Acumulado (HA)]]/tbSabana2016[[#This Row],[Incendio en el AÑO]]</f>
        <v>6.9055357142857128</v>
      </c>
      <c r="AH60" s="2" t="s">
        <v>147</v>
      </c>
      <c r="AI60" s="2" t="s">
        <v>165</v>
      </c>
      <c r="AJ60" s="2" t="s">
        <v>135</v>
      </c>
      <c r="AK60" s="2" t="s">
        <v>266</v>
      </c>
      <c r="AL60" s="2" t="s">
        <v>150</v>
      </c>
      <c r="AM60" s="2" t="s">
        <v>151</v>
      </c>
      <c r="AN60" s="32">
        <v>43533.631944444445</v>
      </c>
      <c r="AO60" s="32">
        <v>43533.638888888891</v>
      </c>
      <c r="AP60" s="32">
        <v>43533.642361111109</v>
      </c>
      <c r="AQ60" s="32">
        <v>43533.673611111109</v>
      </c>
      <c r="AR60" s="32">
        <v>43533.677083333336</v>
      </c>
      <c r="AS60" s="32"/>
      <c r="AT60" s="32">
        <v>43533.708333333336</v>
      </c>
      <c r="AU60" s="32">
        <v>43533.743055555555</v>
      </c>
      <c r="AV60" s="32">
        <v>43533.777777777781</v>
      </c>
      <c r="AW60" s="40">
        <v>0.1111111111111111</v>
      </c>
      <c r="AX60" s="39">
        <v>6.9444444444444441E-3</v>
      </c>
      <c r="AY60" s="39">
        <v>3.4722222222222224E-2</v>
      </c>
      <c r="AZ60" s="40">
        <f>SUM(tbSabana2016[[#This Row],[Duración]])</f>
        <v>0.1111111111111111</v>
      </c>
      <c r="BA60" s="2">
        <v>0.05</v>
      </c>
      <c r="BB60" s="2">
        <v>0.5</v>
      </c>
      <c r="BC60" s="2">
        <v>0</v>
      </c>
      <c r="BD60" s="2">
        <v>0</v>
      </c>
      <c r="BE60" s="2">
        <v>0.15</v>
      </c>
      <c r="BF60" s="2">
        <v>0</v>
      </c>
      <c r="BG60" s="2">
        <v>0.1</v>
      </c>
      <c r="BH60" s="2">
        <v>0.8</v>
      </c>
      <c r="BI60" s="2">
        <v>0</v>
      </c>
      <c r="BJ60" s="2" t="s">
        <v>167</v>
      </c>
      <c r="BK60" s="2">
        <v>1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T60" s="2">
        <v>7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3">
        <f t="shared" si="39"/>
        <v>7</v>
      </c>
      <c r="CO60" s="10">
        <f t="shared" si="40"/>
        <v>710</v>
      </c>
      <c r="CP60" s="10">
        <f t="shared" si="41"/>
        <v>7</v>
      </c>
      <c r="CQ60" s="24">
        <f>SUM(tbSabana2016[[#This Row],[Voluntarios]])</f>
        <v>0</v>
      </c>
      <c r="CR60" s="8">
        <f>tbSabana2016[[#This Row],[CONAFOR (Oficiales)]]*383</f>
        <v>2681</v>
      </c>
      <c r="CS60" s="8">
        <f>(tbSabana2016[[#This Row],[Total (Oficiales)]]-tbSabana2016[[#This Row],[CONAFOR (Oficiales)]])*217</f>
        <v>0</v>
      </c>
      <c r="CT60" s="8">
        <f>SUM(tbSabana2016[[#This Row],[Costo CONAFOR]:[Costo Otros]])</f>
        <v>2681</v>
      </c>
      <c r="CU60" s="8">
        <v>152</v>
      </c>
      <c r="CV60" s="8">
        <f t="shared" si="42"/>
        <v>2833</v>
      </c>
      <c r="CW60" s="2" t="s">
        <v>154</v>
      </c>
      <c r="CX60" s="2" t="s">
        <v>154</v>
      </c>
      <c r="CY60" s="69" t="s">
        <v>154</v>
      </c>
      <c r="CZ60" s="2" t="s">
        <v>154</v>
      </c>
      <c r="DA60" s="2" t="s">
        <v>172</v>
      </c>
      <c r="DB60" s="2" t="s">
        <v>155</v>
      </c>
      <c r="DC60" s="2" t="s">
        <v>468</v>
      </c>
      <c r="DD60" s="2" t="s">
        <v>311</v>
      </c>
      <c r="DE60" s="2" t="s">
        <v>158</v>
      </c>
      <c r="DF60" s="2" t="s">
        <v>159</v>
      </c>
      <c r="DG60" s="2" t="s">
        <v>160</v>
      </c>
      <c r="DH60" s="2">
        <v>0</v>
      </c>
      <c r="DI60" s="2">
        <v>0</v>
      </c>
      <c r="DJ60" s="2">
        <v>0</v>
      </c>
      <c r="DK60" s="2">
        <v>0</v>
      </c>
      <c r="DL60" s="2">
        <v>0.9</v>
      </c>
      <c r="DM60" s="2">
        <v>0</v>
      </c>
      <c r="DN60" s="2">
        <f t="shared" si="43"/>
        <v>0.9</v>
      </c>
    </row>
    <row r="61" spans="1:126" x14ac:dyDescent="0.25">
      <c r="A61" s="2" t="s">
        <v>451</v>
      </c>
      <c r="B61" s="25">
        <v>57</v>
      </c>
      <c r="C61" s="35">
        <v>43533</v>
      </c>
      <c r="D61" s="35">
        <v>43533</v>
      </c>
      <c r="E6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1" s="2">
        <v>51</v>
      </c>
      <c r="G61" s="2">
        <v>1</v>
      </c>
      <c r="H61" s="47">
        <f>WEEKNUM(tbSabana2016[[#This Row],[Fecha de Inicio]],15)</f>
        <v>11</v>
      </c>
      <c r="I61" s="36" t="str">
        <f>TEXT(tbSabana2016[[#This Row],[Fecha de Inicio]],"dddd")</f>
        <v>sábado</v>
      </c>
      <c r="J61" s="36" t="str">
        <f>TEXT(tbSabana2016[[#This Row],[Fecha de Inicio]],"mmmm")</f>
        <v>marzo</v>
      </c>
      <c r="K61" s="37" t="s">
        <v>143</v>
      </c>
      <c r="L61" s="23">
        <v>9</v>
      </c>
      <c r="M61" s="38" t="s">
        <v>144</v>
      </c>
      <c r="N61" s="38" t="s">
        <v>144</v>
      </c>
      <c r="O61" s="38" t="s">
        <v>455</v>
      </c>
      <c r="P61" s="38"/>
      <c r="Q61" s="47">
        <v>19</v>
      </c>
      <c r="R61" s="102">
        <v>1</v>
      </c>
      <c r="S61" s="105">
        <v>45.3</v>
      </c>
      <c r="T61" s="102">
        <v>99</v>
      </c>
      <c r="U61" s="102">
        <v>13</v>
      </c>
      <c r="V61" s="105">
        <v>32.4</v>
      </c>
      <c r="W6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01' 45.30'' W 99° 13' 32.40''</v>
      </c>
      <c r="X61" s="44">
        <v>2625</v>
      </c>
      <c r="Y61" s="19">
        <v>0</v>
      </c>
      <c r="Z61" s="19">
        <v>0</v>
      </c>
      <c r="AA61" s="19">
        <v>0.5</v>
      </c>
      <c r="AB61" s="19">
        <v>0</v>
      </c>
      <c r="AC61" s="19">
        <v>0</v>
      </c>
      <c r="AD61" s="19">
        <v>0</v>
      </c>
      <c r="AE61" s="19">
        <f>SUM(tbSabana2016[[#This Row],[Arbolado Adulto (HA)]:[Suelo Orgánico (HA)]])</f>
        <v>0.5</v>
      </c>
      <c r="AF61" s="9">
        <f t="shared" si="38"/>
        <v>387.20999999999992</v>
      </c>
      <c r="AG61" s="9">
        <f>tbSabana2016[[#This Row],[Acumulado (HA)]]/tbSabana2016[[#This Row],[Incendio en el AÑO]]</f>
        <v>6.793157894736841</v>
      </c>
      <c r="AH61" s="2" t="s">
        <v>147</v>
      </c>
      <c r="AI61" s="2" t="s">
        <v>283</v>
      </c>
      <c r="AJ61" s="2" t="s">
        <v>416</v>
      </c>
      <c r="AK61" s="2" t="s">
        <v>166</v>
      </c>
      <c r="AL61" s="2" t="s">
        <v>150</v>
      </c>
      <c r="AM61" s="2" t="s">
        <v>151</v>
      </c>
      <c r="AN61" s="32">
        <v>43533.652777777781</v>
      </c>
      <c r="AO61" s="32">
        <v>43533.65625</v>
      </c>
      <c r="AP61" s="32">
        <v>43533.659722222219</v>
      </c>
      <c r="AQ61" s="32">
        <v>43533.677083333336</v>
      </c>
      <c r="AR61" s="32">
        <v>43533.680555555555</v>
      </c>
      <c r="AS61" s="32"/>
      <c r="AT61" s="32">
        <v>43533.708333333336</v>
      </c>
      <c r="AU61" s="32">
        <v>43533.732638888891</v>
      </c>
      <c r="AV61" s="32">
        <v>43533.791666666664</v>
      </c>
      <c r="AW61" s="40">
        <v>7.9861111111111105E-2</v>
      </c>
      <c r="AX61" s="39">
        <v>3.472222222222222E-3</v>
      </c>
      <c r="AY61" s="39">
        <v>2.0833333333333332E-2</v>
      </c>
      <c r="AZ61" s="40">
        <f>SUM(tbSabana2016[[#This Row],[Duración]])</f>
        <v>7.9861111111111105E-2</v>
      </c>
      <c r="BA61" s="2">
        <v>0.05</v>
      </c>
      <c r="BB61" s="2">
        <v>0.04</v>
      </c>
      <c r="BC61" s="2">
        <v>0</v>
      </c>
      <c r="BD61" s="2">
        <v>0</v>
      </c>
      <c r="BE61" s="2">
        <v>0.04</v>
      </c>
      <c r="BF61" s="2">
        <v>0</v>
      </c>
      <c r="BG61" s="2">
        <v>0</v>
      </c>
      <c r="BH61" s="2">
        <v>0.01</v>
      </c>
      <c r="BI61" s="2">
        <v>0</v>
      </c>
      <c r="BJ61" s="2" t="s">
        <v>179</v>
      </c>
      <c r="BK61" s="2">
        <v>0</v>
      </c>
      <c r="BL61" s="2">
        <v>0</v>
      </c>
      <c r="BM61" s="2">
        <v>0</v>
      </c>
      <c r="BN61" s="2">
        <v>1</v>
      </c>
      <c r="BO61" s="2">
        <v>0</v>
      </c>
      <c r="BP61" s="2">
        <v>0</v>
      </c>
      <c r="BQ61" s="2">
        <v>0</v>
      </c>
      <c r="BR61" s="2">
        <v>0</v>
      </c>
      <c r="BT61" s="2">
        <v>8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3">
        <f t="shared" si="39"/>
        <v>8</v>
      </c>
      <c r="CO61" s="10">
        <f t="shared" si="40"/>
        <v>718</v>
      </c>
      <c r="CP61" s="10">
        <f t="shared" si="41"/>
        <v>8</v>
      </c>
      <c r="CQ61" s="24">
        <f>SUM(tbSabana2016[[#This Row],[Voluntarios]])</f>
        <v>0</v>
      </c>
      <c r="CR61" s="8">
        <f>tbSabana2016[[#This Row],[CONAFOR (Oficiales)]]*383</f>
        <v>3064</v>
      </c>
      <c r="CS61" s="8">
        <f>(tbSabana2016[[#This Row],[Total (Oficiales)]]-tbSabana2016[[#This Row],[CONAFOR (Oficiales)]])*217</f>
        <v>0</v>
      </c>
      <c r="CT61" s="8">
        <f>SUM(tbSabana2016[[#This Row],[Costo CONAFOR]:[Costo Otros]])</f>
        <v>3064</v>
      </c>
      <c r="CU61" s="8">
        <v>133</v>
      </c>
      <c r="CV61" s="8">
        <f t="shared" si="42"/>
        <v>3197</v>
      </c>
      <c r="CW61" s="2" t="s">
        <v>154</v>
      </c>
      <c r="CX61" s="2" t="s">
        <v>154</v>
      </c>
      <c r="CY61" s="69" t="s">
        <v>154</v>
      </c>
      <c r="CZ61" s="2" t="s">
        <v>154</v>
      </c>
      <c r="DA61" s="2" t="s">
        <v>172</v>
      </c>
      <c r="DB61" s="2" t="s">
        <v>155</v>
      </c>
      <c r="DC61" s="2" t="s">
        <v>156</v>
      </c>
      <c r="DD61" s="2" t="s">
        <v>157</v>
      </c>
      <c r="DE61" s="2" t="s">
        <v>158</v>
      </c>
      <c r="DF61" s="2" t="s">
        <v>159</v>
      </c>
      <c r="DG61" s="2" t="s">
        <v>160</v>
      </c>
      <c r="DH61" s="2">
        <v>0</v>
      </c>
      <c r="DI61" s="2">
        <v>0</v>
      </c>
      <c r="DJ61" s="2">
        <v>0.5</v>
      </c>
      <c r="DK61" s="2">
        <v>0</v>
      </c>
      <c r="DL61" s="2">
        <v>0</v>
      </c>
      <c r="DM61" s="2">
        <v>0</v>
      </c>
      <c r="DN61" s="2">
        <f t="shared" si="43"/>
        <v>0.5</v>
      </c>
    </row>
    <row r="62" spans="1:126" x14ac:dyDescent="0.25">
      <c r="A62" s="2" t="s">
        <v>452</v>
      </c>
      <c r="B62" s="25">
        <v>58</v>
      </c>
      <c r="C62" s="35">
        <v>43533</v>
      </c>
      <c r="D62" s="35">
        <v>43533</v>
      </c>
      <c r="E6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2" s="2">
        <v>52</v>
      </c>
      <c r="G62" s="2">
        <v>1</v>
      </c>
      <c r="H62" s="47">
        <f>WEEKNUM(tbSabana2016[[#This Row],[Fecha de Inicio]],15)</f>
        <v>11</v>
      </c>
      <c r="I62" s="36" t="str">
        <f>TEXT(tbSabana2016[[#This Row],[Fecha de Inicio]],"dddd")</f>
        <v>sábado</v>
      </c>
      <c r="J62" s="36" t="str">
        <f>TEXT(tbSabana2016[[#This Row],[Fecha de Inicio]],"mmmm")</f>
        <v>marzo</v>
      </c>
      <c r="K62" s="37" t="s">
        <v>143</v>
      </c>
      <c r="L62" s="23">
        <v>20</v>
      </c>
      <c r="M62" s="38" t="s">
        <v>162</v>
      </c>
      <c r="N62" s="38" t="s">
        <v>163</v>
      </c>
      <c r="O62" s="38" t="s">
        <v>456</v>
      </c>
      <c r="P62" s="38"/>
      <c r="Q62" s="47">
        <v>18</v>
      </c>
      <c r="R62" s="102">
        <v>59</v>
      </c>
      <c r="S62" s="105">
        <v>13.6</v>
      </c>
      <c r="T62" s="102">
        <v>99</v>
      </c>
      <c r="U62" s="102">
        <v>10</v>
      </c>
      <c r="V62" s="105">
        <v>42.2</v>
      </c>
      <c r="W6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13.60'' W 99° 10' 42.20''</v>
      </c>
      <c r="X62" s="44">
        <v>1826</v>
      </c>
      <c r="Y62" s="19">
        <v>0</v>
      </c>
      <c r="Z62" s="19">
        <v>0</v>
      </c>
      <c r="AA62" s="19">
        <v>0.3</v>
      </c>
      <c r="AB62" s="19">
        <v>0.6</v>
      </c>
      <c r="AC62" s="19">
        <v>0</v>
      </c>
      <c r="AD62" s="19">
        <v>0</v>
      </c>
      <c r="AE62" s="19">
        <f>SUM(tbSabana2016[[#This Row],[Arbolado Adulto (HA)]:[Suelo Orgánico (HA)]])</f>
        <v>0.89999999999999991</v>
      </c>
      <c r="AF62" s="9">
        <f t="shared" si="38"/>
        <v>388.1099999999999</v>
      </c>
      <c r="AG62" s="9">
        <f>tbSabana2016[[#This Row],[Acumulado (HA)]]/tbSabana2016[[#This Row],[Incendio en el AÑO]]</f>
        <v>6.6915517241379296</v>
      </c>
      <c r="AH62" s="2" t="s">
        <v>147</v>
      </c>
      <c r="AI62" s="2" t="s">
        <v>355</v>
      </c>
      <c r="AJ62" s="2" t="s">
        <v>134</v>
      </c>
      <c r="AK62" s="2" t="s">
        <v>183</v>
      </c>
      <c r="AL62" s="2" t="s">
        <v>150</v>
      </c>
      <c r="AM62" s="2" t="s">
        <v>151</v>
      </c>
      <c r="AN62" s="32">
        <v>43533.666666666664</v>
      </c>
      <c r="AO62" s="32">
        <v>43533.670138888891</v>
      </c>
      <c r="AP62" s="32">
        <v>43533.673611111109</v>
      </c>
      <c r="AQ62" s="32">
        <v>43533.694444444445</v>
      </c>
      <c r="AR62" s="32">
        <v>43533.697916666664</v>
      </c>
      <c r="AS62" s="32"/>
      <c r="AT62" s="32">
        <v>43533.770833333336</v>
      </c>
      <c r="AU62" s="32">
        <v>43533.805555555555</v>
      </c>
      <c r="AV62" s="32">
        <v>43533.833333333336</v>
      </c>
      <c r="AW62" s="40">
        <v>0.1388888888888889</v>
      </c>
      <c r="AX62" s="39">
        <v>3.472222222222222E-3</v>
      </c>
      <c r="AY62" s="39">
        <v>2.4305555555555556E-2</v>
      </c>
      <c r="AZ62" s="40">
        <f>SUM(tbSabana2016[[#This Row],[Duración]])</f>
        <v>0.1388888888888889</v>
      </c>
      <c r="BA62" s="2">
        <v>0.05</v>
      </c>
      <c r="BB62" s="2">
        <v>0.1</v>
      </c>
      <c r="BC62" s="2">
        <v>0</v>
      </c>
      <c r="BD62" s="2">
        <v>0</v>
      </c>
      <c r="BE62" s="2">
        <v>0.2</v>
      </c>
      <c r="BF62" s="2">
        <v>0</v>
      </c>
      <c r="BG62" s="2">
        <v>0</v>
      </c>
      <c r="BH62" s="2">
        <v>0</v>
      </c>
      <c r="BI62" s="2">
        <v>0</v>
      </c>
      <c r="BJ62" s="2" t="s">
        <v>206</v>
      </c>
      <c r="BK62" s="2">
        <v>0</v>
      </c>
      <c r="BL62" s="2">
        <v>0</v>
      </c>
      <c r="BM62" s="2">
        <v>1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T62" s="2">
        <v>9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3">
        <f t="shared" si="39"/>
        <v>9</v>
      </c>
      <c r="CO62" s="10">
        <f t="shared" si="40"/>
        <v>727</v>
      </c>
      <c r="CP62" s="10">
        <f t="shared" si="41"/>
        <v>9</v>
      </c>
      <c r="CQ62" s="24">
        <f>SUM(tbSabana2016[[#This Row],[Voluntarios]])</f>
        <v>0</v>
      </c>
      <c r="CR62" s="8">
        <f>tbSabana2016[[#This Row],[CONAFOR (Oficiales)]]*383</f>
        <v>3447</v>
      </c>
      <c r="CS62" s="8">
        <f>(tbSabana2016[[#This Row],[Total (Oficiales)]]-tbSabana2016[[#This Row],[CONAFOR (Oficiales)]])*217</f>
        <v>0</v>
      </c>
      <c r="CT62" s="8">
        <f>SUM(tbSabana2016[[#This Row],[Costo CONAFOR]:[Costo Otros]])</f>
        <v>3447</v>
      </c>
      <c r="CU62" s="8">
        <v>190</v>
      </c>
      <c r="CV62" s="8">
        <f t="shared" si="42"/>
        <v>3637</v>
      </c>
      <c r="CW62" s="2" t="s">
        <v>154</v>
      </c>
      <c r="CX62" s="2" t="s">
        <v>154</v>
      </c>
      <c r="CY62" s="69" t="s">
        <v>154</v>
      </c>
      <c r="CZ62" s="2" t="s">
        <v>154</v>
      </c>
      <c r="DA62" s="2" t="s">
        <v>457</v>
      </c>
      <c r="DB62" s="2" t="s">
        <v>155</v>
      </c>
      <c r="DC62" s="2" t="s">
        <v>168</v>
      </c>
      <c r="DD62" s="2" t="s">
        <v>169</v>
      </c>
      <c r="DE62" s="2" t="s">
        <v>170</v>
      </c>
      <c r="DF62" s="2" t="s">
        <v>158</v>
      </c>
      <c r="DG62" s="2" t="s">
        <v>440</v>
      </c>
      <c r="DH62" s="2">
        <v>0</v>
      </c>
      <c r="DI62" s="2">
        <v>0</v>
      </c>
      <c r="DJ62" s="2">
        <v>0.3</v>
      </c>
      <c r="DK62" s="2">
        <v>0.6</v>
      </c>
      <c r="DL62" s="2">
        <v>0</v>
      </c>
      <c r="DM62" s="2">
        <v>0</v>
      </c>
      <c r="DN62" s="2">
        <f t="shared" si="43"/>
        <v>0.89999999999999991</v>
      </c>
    </row>
    <row r="63" spans="1:126" x14ac:dyDescent="0.25">
      <c r="A63" s="2" t="s">
        <v>459</v>
      </c>
      <c r="B63" s="25">
        <v>59</v>
      </c>
      <c r="C63" s="35">
        <v>43534</v>
      </c>
      <c r="D63" s="35">
        <v>43534</v>
      </c>
      <c r="E6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3" s="2">
        <v>53</v>
      </c>
      <c r="G63" s="2">
        <v>1</v>
      </c>
      <c r="H63" s="47">
        <f>WEEKNUM(tbSabana2016[[#This Row],[Fecha de Inicio]],15)</f>
        <v>11</v>
      </c>
      <c r="I63" s="36" t="str">
        <f>TEXT(tbSabana2016[[#This Row],[Fecha de Inicio]],"dddd")</f>
        <v>domingo</v>
      </c>
      <c r="J63" s="36" t="str">
        <f>TEXT(tbSabana2016[[#This Row],[Fecha de Inicio]],"mmmm")</f>
        <v>marzo</v>
      </c>
      <c r="K63" s="37" t="s">
        <v>143</v>
      </c>
      <c r="L63" s="23">
        <v>20</v>
      </c>
      <c r="M63" s="38" t="s">
        <v>162</v>
      </c>
      <c r="N63" s="38" t="s">
        <v>163</v>
      </c>
      <c r="O63" s="38" t="s">
        <v>414</v>
      </c>
      <c r="P63" s="38" t="s">
        <v>182</v>
      </c>
      <c r="Q63" s="47">
        <v>18</v>
      </c>
      <c r="R63" s="102">
        <v>58</v>
      </c>
      <c r="S63" s="105">
        <v>0.6</v>
      </c>
      <c r="T63" s="102">
        <v>99</v>
      </c>
      <c r="U63" s="102">
        <v>9</v>
      </c>
      <c r="V63" s="105">
        <v>52.9</v>
      </c>
      <c r="W6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00.60'' W 99° 09' 52.90''</v>
      </c>
      <c r="X63" s="44">
        <v>1628</v>
      </c>
      <c r="Y63" s="19">
        <v>0</v>
      </c>
      <c r="Z63" s="19">
        <v>0</v>
      </c>
      <c r="AA63" s="19">
        <v>0.3</v>
      </c>
      <c r="AB63" s="19">
        <v>0.4</v>
      </c>
      <c r="AC63" s="19">
        <v>0</v>
      </c>
      <c r="AD63" s="19">
        <v>0</v>
      </c>
      <c r="AE63" s="19">
        <f>SUM(tbSabana2016[[#This Row],[Arbolado Adulto (HA)]:[Suelo Orgánico (HA)]])</f>
        <v>0.7</v>
      </c>
      <c r="AF63" s="9">
        <f t="shared" si="38"/>
        <v>388.80999999999989</v>
      </c>
      <c r="AG63" s="9">
        <f>tbSabana2016[[#This Row],[Acumulado (HA)]]/tbSabana2016[[#This Row],[Incendio en el AÑO]]</f>
        <v>6.5899999999999981</v>
      </c>
      <c r="AH63" s="2" t="s">
        <v>147</v>
      </c>
      <c r="AI63" s="2" t="s">
        <v>165</v>
      </c>
      <c r="AJ63" s="2" t="s">
        <v>134</v>
      </c>
      <c r="AK63" s="2" t="s">
        <v>183</v>
      </c>
      <c r="AL63" s="2" t="s">
        <v>150</v>
      </c>
      <c r="AM63" s="2" t="s">
        <v>151</v>
      </c>
      <c r="AN63" s="32">
        <v>43534.493055555555</v>
      </c>
      <c r="AO63" s="32">
        <v>43534.496527777781</v>
      </c>
      <c r="AP63" s="32">
        <v>43534.5</v>
      </c>
      <c r="AQ63" s="32">
        <v>43534.545138888891</v>
      </c>
      <c r="AR63" s="32">
        <v>43534.548611111109</v>
      </c>
      <c r="AS63" s="32"/>
      <c r="AT63" s="32">
        <v>43534.583333333336</v>
      </c>
      <c r="AU63" s="32">
        <v>43534.604166666664</v>
      </c>
      <c r="AV63" s="32">
        <v>43534.645833333336</v>
      </c>
      <c r="AW63" s="40">
        <v>0.1111111111111111</v>
      </c>
      <c r="AX63" s="39">
        <v>3.472222222222222E-3</v>
      </c>
      <c r="AY63" s="39">
        <v>4.8611111111111112E-2</v>
      </c>
      <c r="AZ63" s="40">
        <f>SUM(tbSabana2016[[#This Row],[Duración]])</f>
        <v>0.1111111111111111</v>
      </c>
      <c r="BA63" s="2">
        <v>0.1</v>
      </c>
      <c r="BB63" s="2">
        <v>0</v>
      </c>
      <c r="BC63" s="2">
        <v>0</v>
      </c>
      <c r="BD63" s="2">
        <v>0.05</v>
      </c>
      <c r="BE63" s="2">
        <v>0.1</v>
      </c>
      <c r="BF63" s="2">
        <v>0</v>
      </c>
      <c r="BG63" s="2">
        <v>0.2</v>
      </c>
      <c r="BH63" s="2">
        <v>0.3</v>
      </c>
      <c r="BI63" s="2">
        <v>0</v>
      </c>
      <c r="BJ63" s="2" t="s">
        <v>181</v>
      </c>
      <c r="BK63" s="2">
        <v>0</v>
      </c>
      <c r="BL63" s="2">
        <v>1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T63" s="2">
        <v>8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3">
        <f t="shared" ref="CN63:CN69" si="44">SUM(BT63:CM63)</f>
        <v>8</v>
      </c>
      <c r="CO63" s="10">
        <f t="shared" si="40"/>
        <v>735</v>
      </c>
      <c r="CP63" s="10">
        <f t="shared" ref="CP63:CP69" si="45">SUM(BT63:CG63,CI63:CM63)</f>
        <v>8</v>
      </c>
      <c r="CQ63" s="24">
        <f>SUM(tbSabana2016[[#This Row],[Voluntarios]])</f>
        <v>0</v>
      </c>
      <c r="CR63" s="8">
        <f>tbSabana2016[[#This Row],[CONAFOR (Oficiales)]]*383</f>
        <v>3064</v>
      </c>
      <c r="CS63" s="8">
        <f>(tbSabana2016[[#This Row],[Total (Oficiales)]]-tbSabana2016[[#This Row],[CONAFOR (Oficiales)]])*217</f>
        <v>0</v>
      </c>
      <c r="CT63" s="8">
        <f>SUM(tbSabana2016[[#This Row],[Costo CONAFOR]:[Costo Otros]])</f>
        <v>3064</v>
      </c>
      <c r="CU63" s="8">
        <v>209</v>
      </c>
      <c r="CV63" s="8">
        <f t="shared" ref="CV63:CV69" si="46">SUM(CT63:CU63)</f>
        <v>3273</v>
      </c>
      <c r="CW63" s="2" t="s">
        <v>154</v>
      </c>
      <c r="CX63" s="2" t="s">
        <v>154</v>
      </c>
      <c r="CY63" s="69" t="s">
        <v>154</v>
      </c>
      <c r="CZ63" s="2" t="s">
        <v>154</v>
      </c>
      <c r="DA63" s="2" t="s">
        <v>172</v>
      </c>
      <c r="DB63" s="2" t="s">
        <v>155</v>
      </c>
      <c r="DC63" s="2" t="s">
        <v>168</v>
      </c>
      <c r="DD63" s="2" t="s">
        <v>169</v>
      </c>
      <c r="DE63" s="2" t="s">
        <v>170</v>
      </c>
      <c r="DF63" s="2" t="s">
        <v>159</v>
      </c>
      <c r="DG63" s="2" t="s">
        <v>171</v>
      </c>
      <c r="DH63" s="2">
        <v>0</v>
      </c>
      <c r="DI63" s="2">
        <v>0</v>
      </c>
      <c r="DJ63" s="2">
        <v>0.3</v>
      </c>
      <c r="DK63" s="2">
        <v>0.4</v>
      </c>
      <c r="DL63" s="2">
        <v>0</v>
      </c>
      <c r="DM63" s="2">
        <v>0</v>
      </c>
      <c r="DN63" s="2">
        <f t="shared" ref="DN63:DN69" si="47">SUM(DH63:DM63)</f>
        <v>0.7</v>
      </c>
    </row>
    <row r="64" spans="1:126" x14ac:dyDescent="0.25">
      <c r="A64" s="2" t="s">
        <v>460</v>
      </c>
      <c r="B64" s="25">
        <v>60</v>
      </c>
      <c r="C64" s="35">
        <v>43534</v>
      </c>
      <c r="D64" s="35">
        <v>43534</v>
      </c>
      <c r="E6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4" s="2">
        <v>54</v>
      </c>
      <c r="G64" s="2">
        <v>1</v>
      </c>
      <c r="H64" s="47">
        <f>WEEKNUM(tbSabana2016[[#This Row],[Fecha de Inicio]],15)</f>
        <v>11</v>
      </c>
      <c r="I64" s="36" t="str">
        <f>TEXT(tbSabana2016[[#This Row],[Fecha de Inicio]],"dddd")</f>
        <v>domingo</v>
      </c>
      <c r="J64" s="36" t="str">
        <f>TEXT(tbSabana2016[[#This Row],[Fecha de Inicio]],"mmmm")</f>
        <v>marzo</v>
      </c>
      <c r="K64" s="37" t="s">
        <v>143</v>
      </c>
      <c r="L64" s="23">
        <v>20</v>
      </c>
      <c r="M64" s="38" t="s">
        <v>162</v>
      </c>
      <c r="N64" s="38" t="s">
        <v>163</v>
      </c>
      <c r="O64" s="38" t="s">
        <v>456</v>
      </c>
      <c r="P64" s="38"/>
      <c r="Q64" s="47">
        <v>18</v>
      </c>
      <c r="R64" s="102">
        <v>59</v>
      </c>
      <c r="S64" s="105">
        <v>5.12</v>
      </c>
      <c r="T64" s="102">
        <v>99</v>
      </c>
      <c r="U64" s="102">
        <v>10</v>
      </c>
      <c r="V64" s="105">
        <v>42.95</v>
      </c>
      <c r="W6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05.12'' W 99° 10' 42.95''</v>
      </c>
      <c r="X64" s="44">
        <v>1783</v>
      </c>
      <c r="Y64" s="19">
        <v>0</v>
      </c>
      <c r="Z64" s="19">
        <v>0</v>
      </c>
      <c r="AA64" s="19">
        <v>0</v>
      </c>
      <c r="AB64" s="19">
        <v>2.83</v>
      </c>
      <c r="AC64" s="19">
        <v>0</v>
      </c>
      <c r="AD64" s="19">
        <v>0</v>
      </c>
      <c r="AE64" s="19">
        <f>SUM(tbSabana2016[[#This Row],[Arbolado Adulto (HA)]:[Suelo Orgánico (HA)]])</f>
        <v>2.83</v>
      </c>
      <c r="AF64" s="9">
        <f t="shared" si="38"/>
        <v>391.63999999999987</v>
      </c>
      <c r="AG64" s="9">
        <f>tbSabana2016[[#This Row],[Acumulado (HA)]]/tbSabana2016[[#This Row],[Incendio en el AÑO]]</f>
        <v>6.5273333333333312</v>
      </c>
      <c r="AH64" s="2" t="s">
        <v>147</v>
      </c>
      <c r="AI64" s="2" t="s">
        <v>165</v>
      </c>
      <c r="AJ64" s="2" t="s">
        <v>134</v>
      </c>
      <c r="AK64" s="2" t="s">
        <v>183</v>
      </c>
      <c r="AL64" s="2" t="s">
        <v>150</v>
      </c>
      <c r="AM64" s="2" t="s">
        <v>151</v>
      </c>
      <c r="AN64" s="32">
        <v>43534.534722222219</v>
      </c>
      <c r="AO64" s="32">
        <v>43534.538194444445</v>
      </c>
      <c r="AP64" s="32">
        <v>43534.541666666664</v>
      </c>
      <c r="AQ64" s="32">
        <v>43534.576388888891</v>
      </c>
      <c r="AR64" s="32">
        <v>43534.590277777781</v>
      </c>
      <c r="AS64" s="32"/>
      <c r="AT64" s="32">
        <v>43534.708333333336</v>
      </c>
      <c r="AU64" s="32">
        <v>43534.729166666664</v>
      </c>
      <c r="AV64" s="32">
        <v>43534.8125</v>
      </c>
      <c r="AW64" s="40">
        <v>0.19444444444444445</v>
      </c>
      <c r="AX64" s="39">
        <v>3.472222222222222E-3</v>
      </c>
      <c r="AY64" s="39">
        <v>3.8194444444444441E-2</v>
      </c>
      <c r="AZ64" s="40">
        <f>SUM(tbSabana2016[[#This Row],[Duración]])</f>
        <v>0.19444444444444445</v>
      </c>
      <c r="BA64" s="2">
        <v>0.1</v>
      </c>
      <c r="BB64" s="2">
        <v>0.2</v>
      </c>
      <c r="BC64" s="2">
        <v>0</v>
      </c>
      <c r="BD64" s="2">
        <v>0</v>
      </c>
      <c r="BE64" s="2">
        <v>0.05</v>
      </c>
      <c r="BF64" s="2">
        <v>0</v>
      </c>
      <c r="BG64" s="2">
        <v>0</v>
      </c>
      <c r="BH64" s="2">
        <v>1.8</v>
      </c>
      <c r="BI64" s="2">
        <v>0</v>
      </c>
      <c r="BJ64" s="2" t="s">
        <v>176</v>
      </c>
      <c r="BK64" s="2">
        <v>1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T64" s="2">
        <v>9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3">
        <f t="shared" si="44"/>
        <v>9</v>
      </c>
      <c r="CO64" s="10">
        <f t="shared" si="40"/>
        <v>744</v>
      </c>
      <c r="CP64" s="10">
        <f t="shared" si="45"/>
        <v>9</v>
      </c>
      <c r="CQ64" s="24">
        <f>SUM(tbSabana2016[[#This Row],[Voluntarios]])</f>
        <v>0</v>
      </c>
      <c r="CR64" s="8">
        <f>tbSabana2016[[#This Row],[CONAFOR (Oficiales)]]*383</f>
        <v>3447</v>
      </c>
      <c r="CS64" s="8">
        <f>(tbSabana2016[[#This Row],[Total (Oficiales)]]-tbSabana2016[[#This Row],[CONAFOR (Oficiales)]])*217</f>
        <v>0</v>
      </c>
      <c r="CT64" s="8">
        <f>SUM(tbSabana2016[[#This Row],[Costo CONAFOR]:[Costo Otros]])</f>
        <v>3447</v>
      </c>
      <c r="CU64" s="8">
        <v>190</v>
      </c>
      <c r="CV64" s="8">
        <f t="shared" si="46"/>
        <v>3637</v>
      </c>
      <c r="CW64" s="2" t="s">
        <v>154</v>
      </c>
      <c r="CX64" s="2" t="s">
        <v>154</v>
      </c>
      <c r="CY64" s="69" t="s">
        <v>154</v>
      </c>
      <c r="CZ64" s="2" t="s">
        <v>154</v>
      </c>
      <c r="DA64" s="2" t="s">
        <v>457</v>
      </c>
      <c r="DB64" s="2" t="s">
        <v>155</v>
      </c>
      <c r="DC64" s="2" t="s">
        <v>168</v>
      </c>
      <c r="DD64" s="2" t="s">
        <v>169</v>
      </c>
      <c r="DE64" s="2" t="s">
        <v>170</v>
      </c>
      <c r="DF64" s="2" t="s">
        <v>158</v>
      </c>
      <c r="DG64" s="2" t="s">
        <v>440</v>
      </c>
      <c r="DH64" s="2">
        <v>0</v>
      </c>
      <c r="DI64" s="2">
        <v>0</v>
      </c>
      <c r="DJ64" s="2">
        <v>0</v>
      </c>
      <c r="DK64" s="2">
        <v>2.83</v>
      </c>
      <c r="DL64" s="2">
        <v>0</v>
      </c>
      <c r="DM64" s="2">
        <v>0</v>
      </c>
      <c r="DN64" s="2">
        <f t="shared" si="47"/>
        <v>2.83</v>
      </c>
    </row>
    <row r="65" spans="1:126" x14ac:dyDescent="0.25">
      <c r="A65" s="2" t="s">
        <v>461</v>
      </c>
      <c r="B65" s="25">
        <v>61</v>
      </c>
      <c r="C65" s="35">
        <v>43534</v>
      </c>
      <c r="D65" s="35">
        <v>43534</v>
      </c>
      <c r="E6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5" s="2">
        <v>55</v>
      </c>
      <c r="G65" s="2">
        <v>1</v>
      </c>
      <c r="H65" s="47">
        <f>WEEKNUM(tbSabana2016[[#This Row],[Fecha de Inicio]],15)</f>
        <v>11</v>
      </c>
      <c r="I65" s="36" t="str">
        <f>TEXT(tbSabana2016[[#This Row],[Fecha de Inicio]],"dddd")</f>
        <v>domingo</v>
      </c>
      <c r="J65" s="36" t="str">
        <f>TEXT(tbSabana2016[[#This Row],[Fecha de Inicio]],"mmmm")</f>
        <v>marzo</v>
      </c>
      <c r="K65" s="37" t="s">
        <v>143</v>
      </c>
      <c r="L65" s="23">
        <v>15</v>
      </c>
      <c r="M65" s="38" t="s">
        <v>462</v>
      </c>
      <c r="N65" s="38" t="s">
        <v>462</v>
      </c>
      <c r="O65" s="38" t="s">
        <v>463</v>
      </c>
      <c r="P65" s="38" t="s">
        <v>174</v>
      </c>
      <c r="Q65" s="47">
        <v>18</v>
      </c>
      <c r="R65" s="102">
        <v>54</v>
      </c>
      <c r="S65" s="105">
        <v>32.69</v>
      </c>
      <c r="T65" s="102">
        <v>99</v>
      </c>
      <c r="U65" s="102">
        <v>20</v>
      </c>
      <c r="V65" s="105">
        <v>39.299999999999997</v>
      </c>
      <c r="W6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54' 32.69'' W 99° 20' 39.30''</v>
      </c>
      <c r="X65" s="44">
        <v>1704</v>
      </c>
      <c r="Y65" s="19">
        <v>0</v>
      </c>
      <c r="Z65" s="19">
        <v>0</v>
      </c>
      <c r="AA65" s="19">
        <v>0</v>
      </c>
      <c r="AB65" s="19">
        <v>5.87</v>
      </c>
      <c r="AC65" s="19">
        <v>0</v>
      </c>
      <c r="AD65" s="19">
        <v>0</v>
      </c>
      <c r="AE65" s="19">
        <f>SUM(tbSabana2016[[#This Row],[Arbolado Adulto (HA)]:[Suelo Orgánico (HA)]])</f>
        <v>5.87</v>
      </c>
      <c r="AF65" s="9">
        <f t="shared" si="38"/>
        <v>397.50999999999988</v>
      </c>
      <c r="AG65" s="9">
        <f>tbSabana2016[[#This Row],[Acumulado (HA)]]/tbSabana2016[[#This Row],[Incendio en el AÑO]]</f>
        <v>6.5165573770491783</v>
      </c>
      <c r="AH65" s="2" t="s">
        <v>147</v>
      </c>
      <c r="AI65" s="2" t="s">
        <v>165</v>
      </c>
      <c r="AJ65" s="2" t="s">
        <v>134</v>
      </c>
      <c r="AK65" s="2" t="s">
        <v>200</v>
      </c>
      <c r="AL65" s="2" t="s">
        <v>150</v>
      </c>
      <c r="AM65" s="2" t="s">
        <v>151</v>
      </c>
      <c r="AN65" s="32">
        <v>43534.59375</v>
      </c>
      <c r="AO65" s="32">
        <v>43534.597222222219</v>
      </c>
      <c r="AP65" s="32">
        <v>43534.599305555559</v>
      </c>
      <c r="AQ65" s="32">
        <v>43534.645833333336</v>
      </c>
      <c r="AR65" s="32">
        <v>43534.649305555555</v>
      </c>
      <c r="AS65" s="32"/>
      <c r="AT65" s="32">
        <v>43534.770833333336</v>
      </c>
      <c r="AU65" s="32">
        <v>43534.8125</v>
      </c>
      <c r="AV65" s="32">
        <v>43534.854166666664</v>
      </c>
      <c r="AW65" s="40">
        <v>0.21875</v>
      </c>
      <c r="AX65" s="39">
        <v>3.472222222222222E-3</v>
      </c>
      <c r="AY65" s="39">
        <v>4.8611111111111112E-2</v>
      </c>
      <c r="AZ65" s="40">
        <f>SUM(tbSabana2016[[#This Row],[Duración]])</f>
        <v>0.21875</v>
      </c>
      <c r="BA65" s="2">
        <v>1</v>
      </c>
      <c r="BB65" s="2">
        <v>0.6</v>
      </c>
      <c r="BC65" s="2">
        <v>0</v>
      </c>
      <c r="BD65" s="2">
        <v>0</v>
      </c>
      <c r="BE65" s="2">
        <v>0.8</v>
      </c>
      <c r="BF65" s="2">
        <v>0</v>
      </c>
      <c r="BG65" s="2">
        <v>0</v>
      </c>
      <c r="BH65" s="2">
        <v>1.9</v>
      </c>
      <c r="BI65" s="2">
        <v>0</v>
      </c>
      <c r="BJ65" s="2" t="s">
        <v>179</v>
      </c>
      <c r="BK65" s="2">
        <v>0</v>
      </c>
      <c r="BL65" s="2">
        <v>0</v>
      </c>
      <c r="BM65" s="2">
        <v>0</v>
      </c>
      <c r="BN65" s="2">
        <v>1</v>
      </c>
      <c r="BO65" s="2">
        <v>0</v>
      </c>
      <c r="BP65" s="2">
        <v>0</v>
      </c>
      <c r="BQ65" s="2">
        <v>0</v>
      </c>
      <c r="BR65" s="2">
        <v>0</v>
      </c>
      <c r="BT65" s="2">
        <v>8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3">
        <f t="shared" si="44"/>
        <v>8</v>
      </c>
      <c r="CO65" s="10">
        <f t="shared" si="40"/>
        <v>752</v>
      </c>
      <c r="CP65" s="10">
        <f t="shared" si="45"/>
        <v>8</v>
      </c>
      <c r="CQ65" s="24">
        <f>SUM(tbSabana2016[[#This Row],[Voluntarios]])</f>
        <v>0</v>
      </c>
      <c r="CR65" s="8">
        <f>tbSabana2016[[#This Row],[CONAFOR (Oficiales)]]*383</f>
        <v>3064</v>
      </c>
      <c r="CS65" s="8">
        <f>(tbSabana2016[[#This Row],[Total (Oficiales)]]-tbSabana2016[[#This Row],[CONAFOR (Oficiales)]])*217</f>
        <v>0</v>
      </c>
      <c r="CT65" s="8">
        <f>SUM(tbSabana2016[[#This Row],[Costo CONAFOR]:[Costo Otros]])</f>
        <v>3064</v>
      </c>
      <c r="CU65" s="8">
        <v>342</v>
      </c>
      <c r="CV65" s="8">
        <f t="shared" si="46"/>
        <v>3406</v>
      </c>
      <c r="CW65" s="2" t="s">
        <v>154</v>
      </c>
      <c r="CX65" s="2" t="s">
        <v>154</v>
      </c>
      <c r="CY65" s="69" t="s">
        <v>154</v>
      </c>
      <c r="CZ65" s="2" t="s">
        <v>154</v>
      </c>
      <c r="DA65" s="2" t="s">
        <v>172</v>
      </c>
      <c r="DB65" s="2" t="s">
        <v>155</v>
      </c>
      <c r="DC65" s="2" t="s">
        <v>464</v>
      </c>
      <c r="DD65" s="2" t="s">
        <v>465</v>
      </c>
      <c r="DE65" s="2" t="s">
        <v>202</v>
      </c>
      <c r="DF65" s="2" t="s">
        <v>159</v>
      </c>
      <c r="DG65" s="2" t="s">
        <v>203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f t="shared" si="47"/>
        <v>0</v>
      </c>
    </row>
    <row r="66" spans="1:126" s="26" customFormat="1" x14ac:dyDescent="0.25">
      <c r="A66" s="25" t="s">
        <v>466</v>
      </c>
      <c r="B66" s="25">
        <v>62</v>
      </c>
      <c r="C66" s="71">
        <v>43535</v>
      </c>
      <c r="D66" s="71">
        <v>43535</v>
      </c>
      <c r="E66" s="7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6" s="25">
        <v>56</v>
      </c>
      <c r="G66" s="25">
        <v>1</v>
      </c>
      <c r="H66" s="47">
        <f>WEEKNUM(tbSabana2016[[#This Row],[Fecha de Inicio]],15)</f>
        <v>11</v>
      </c>
      <c r="I66" s="73" t="str">
        <f>TEXT(tbSabana2016[[#This Row],[Fecha de Inicio]],"dddd")</f>
        <v>lunes</v>
      </c>
      <c r="J66" s="73" t="str">
        <f>TEXT(tbSabana2016[[#This Row],[Fecha de Inicio]],"mmmm")</f>
        <v>marzo</v>
      </c>
      <c r="K66" s="73" t="s">
        <v>143</v>
      </c>
      <c r="L66" s="74">
        <v>20</v>
      </c>
      <c r="M66" s="38" t="s">
        <v>162</v>
      </c>
      <c r="N66" s="75" t="s">
        <v>163</v>
      </c>
      <c r="O66" s="75" t="s">
        <v>467</v>
      </c>
      <c r="P66" s="75"/>
      <c r="Q66" s="72">
        <v>18</v>
      </c>
      <c r="R66" s="103">
        <v>57</v>
      </c>
      <c r="S66" s="106">
        <v>19.829999999999998</v>
      </c>
      <c r="T66" s="103">
        <v>99</v>
      </c>
      <c r="U66" s="103">
        <v>10</v>
      </c>
      <c r="V66" s="106">
        <v>21.43</v>
      </c>
      <c r="W66" s="76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19.83'' W 99° 10' 21.43''</v>
      </c>
      <c r="X66" s="77">
        <v>1617</v>
      </c>
      <c r="Y66" s="78">
        <v>0</v>
      </c>
      <c r="Z66" s="78">
        <v>0</v>
      </c>
      <c r="AA66" s="78">
        <v>0</v>
      </c>
      <c r="AB66" s="78">
        <v>1.29</v>
      </c>
      <c r="AC66" s="78">
        <v>0</v>
      </c>
      <c r="AD66" s="78">
        <v>0</v>
      </c>
      <c r="AE66" s="78">
        <f>SUM(tbSabana2016[[#This Row],[Arbolado Adulto (HA)]:[Suelo Orgánico (HA)]])</f>
        <v>1.29</v>
      </c>
      <c r="AF66" s="9">
        <f t="shared" si="38"/>
        <v>398.7999999999999</v>
      </c>
      <c r="AG66" s="76">
        <f>tbSabana2016[[#This Row],[Acumulado (HA)]]/tbSabana2016[[#This Row],[Incendio en el AÑO]]</f>
        <v>6.4322580645161276</v>
      </c>
      <c r="AH66" s="25" t="s">
        <v>147</v>
      </c>
      <c r="AI66" s="25" t="s">
        <v>165</v>
      </c>
      <c r="AJ66" s="25" t="s">
        <v>135</v>
      </c>
      <c r="AK66" s="25" t="s">
        <v>175</v>
      </c>
      <c r="AL66" s="25" t="s">
        <v>150</v>
      </c>
      <c r="AM66" s="25" t="s">
        <v>151</v>
      </c>
      <c r="AN66" s="79">
        <v>43535.5</v>
      </c>
      <c r="AO66" s="79">
        <v>43535.503472222219</v>
      </c>
      <c r="AP66" s="79">
        <v>43535.506944444445</v>
      </c>
      <c r="AQ66" s="79">
        <v>43535.541666666664</v>
      </c>
      <c r="AR66" s="79">
        <v>43535.545138888891</v>
      </c>
      <c r="AS66" s="79"/>
      <c r="AT66" s="79">
        <v>43535.666666666664</v>
      </c>
      <c r="AU66" s="79">
        <v>43535.75</v>
      </c>
      <c r="AV66" s="79">
        <v>43535.791666666664</v>
      </c>
      <c r="AW66" s="80">
        <v>0.25</v>
      </c>
      <c r="AX66" s="81">
        <v>3.472222222222222E-3</v>
      </c>
      <c r="AY66" s="81">
        <v>3.8194444444444441E-2</v>
      </c>
      <c r="AZ66" s="80">
        <f>SUM(tbSabana2016[[#This Row],[Duración]])</f>
        <v>0.25</v>
      </c>
      <c r="BA66" s="25">
        <v>0.5</v>
      </c>
      <c r="BB66" s="25">
        <v>0.8</v>
      </c>
      <c r="BC66" s="25">
        <v>0</v>
      </c>
      <c r="BD66" s="25">
        <v>0</v>
      </c>
      <c r="BE66" s="25">
        <v>0.4</v>
      </c>
      <c r="BF66" s="25">
        <v>0</v>
      </c>
      <c r="BG66" s="25">
        <v>0</v>
      </c>
      <c r="BH66" s="25">
        <v>0</v>
      </c>
      <c r="BI66" s="25">
        <v>0</v>
      </c>
      <c r="BJ66" s="25" t="s">
        <v>206</v>
      </c>
      <c r="BK66" s="25">
        <v>0</v>
      </c>
      <c r="BL66" s="25">
        <v>0</v>
      </c>
      <c r="BM66" s="25">
        <v>1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/>
      <c r="BT66" s="25">
        <v>10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>
        <v>0</v>
      </c>
      <c r="CE66" s="25">
        <v>0</v>
      </c>
      <c r="CF66" s="25">
        <v>0</v>
      </c>
      <c r="CG66" s="25">
        <v>0</v>
      </c>
      <c r="CH66" s="25">
        <v>0</v>
      </c>
      <c r="CI66" s="25">
        <v>0</v>
      </c>
      <c r="CJ66" s="25">
        <v>0</v>
      </c>
      <c r="CK66" s="25">
        <v>0</v>
      </c>
      <c r="CL66" s="25">
        <v>0</v>
      </c>
      <c r="CM66" s="25">
        <v>0</v>
      </c>
      <c r="CN66" s="74">
        <f t="shared" si="44"/>
        <v>10</v>
      </c>
      <c r="CO66" s="82">
        <f t="shared" si="40"/>
        <v>762</v>
      </c>
      <c r="CP66" s="82">
        <f t="shared" si="45"/>
        <v>10</v>
      </c>
      <c r="CQ66" s="83">
        <f>SUM(tbSabana2016[[#This Row],[Voluntarios]])</f>
        <v>0</v>
      </c>
      <c r="CR66" s="84">
        <f>tbSabana2016[[#This Row],[CONAFOR (Oficiales)]]*383</f>
        <v>3830</v>
      </c>
      <c r="CS66" s="84">
        <f>(tbSabana2016[[#This Row],[Total (Oficiales)]]-tbSabana2016[[#This Row],[CONAFOR (Oficiales)]])*217</f>
        <v>0</v>
      </c>
      <c r="CT66" s="84">
        <f>SUM(tbSabana2016[[#This Row],[Costo CONAFOR]:[Costo Otros]])</f>
        <v>3830</v>
      </c>
      <c r="CU66" s="84">
        <v>190</v>
      </c>
      <c r="CV66" s="84">
        <f t="shared" si="46"/>
        <v>4020</v>
      </c>
      <c r="CW66" s="25" t="s">
        <v>154</v>
      </c>
      <c r="CX66" s="25" t="s">
        <v>154</v>
      </c>
      <c r="CY66" s="85" t="s">
        <v>154</v>
      </c>
      <c r="CZ66" s="25" t="s">
        <v>154</v>
      </c>
      <c r="DA66" s="25" t="s">
        <v>172</v>
      </c>
      <c r="DB66" s="25" t="s">
        <v>155</v>
      </c>
      <c r="DC66" s="25" t="s">
        <v>168</v>
      </c>
      <c r="DD66" s="25" t="s">
        <v>169</v>
      </c>
      <c r="DE66" s="25" t="s">
        <v>170</v>
      </c>
      <c r="DF66" s="25" t="s">
        <v>159</v>
      </c>
      <c r="DG66" s="25" t="s">
        <v>171</v>
      </c>
      <c r="DH66" s="25">
        <v>0</v>
      </c>
      <c r="DI66" s="25">
        <v>0</v>
      </c>
      <c r="DJ66" s="25">
        <v>0</v>
      </c>
      <c r="DK66" s="25">
        <v>1.29</v>
      </c>
      <c r="DL66" s="25">
        <v>0</v>
      </c>
      <c r="DM66" s="25">
        <v>0</v>
      </c>
      <c r="DN66" s="25">
        <f t="shared" si="47"/>
        <v>1.29</v>
      </c>
      <c r="DO66" s="46"/>
      <c r="DP66" s="2"/>
      <c r="DQ66" s="2"/>
      <c r="DR66" s="2"/>
      <c r="DS66" s="2"/>
      <c r="DT66" s="2"/>
      <c r="DU66" s="2"/>
      <c r="DV66" s="2"/>
    </row>
    <row r="67" spans="1:126" s="26" customFormat="1" x14ac:dyDescent="0.25">
      <c r="A67" s="86" t="s">
        <v>469</v>
      </c>
      <c r="B67" s="25">
        <v>63</v>
      </c>
      <c r="C67" s="71">
        <v>43536</v>
      </c>
      <c r="D67" s="71">
        <v>43536</v>
      </c>
      <c r="E67" s="7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7" s="25">
        <v>57</v>
      </c>
      <c r="G67" s="25">
        <v>1</v>
      </c>
      <c r="H67" s="47">
        <f>WEEKNUM(tbSabana2016[[#This Row],[Fecha de Inicio]],15)</f>
        <v>11</v>
      </c>
      <c r="I67" s="73" t="str">
        <f>TEXT(tbSabana2016[[#This Row],[Fecha de Inicio]],"dddd")</f>
        <v>martes</v>
      </c>
      <c r="J67" s="73" t="str">
        <f>TEXT(tbSabana2016[[#This Row],[Fecha de Inicio]],"mmmm")</f>
        <v>marzo</v>
      </c>
      <c r="K67" s="73" t="s">
        <v>143</v>
      </c>
      <c r="L67" s="74">
        <v>20</v>
      </c>
      <c r="M67" s="38" t="s">
        <v>162</v>
      </c>
      <c r="N67" s="75" t="s">
        <v>163</v>
      </c>
      <c r="O67" s="75" t="s">
        <v>414</v>
      </c>
      <c r="P67" s="75"/>
      <c r="Q67" s="72">
        <v>18</v>
      </c>
      <c r="R67" s="103">
        <v>57</v>
      </c>
      <c r="S67" s="106">
        <v>44.99</v>
      </c>
      <c r="T67" s="103">
        <v>99</v>
      </c>
      <c r="U67" s="103">
        <v>10</v>
      </c>
      <c r="V67" s="106">
        <v>0.12</v>
      </c>
      <c r="W67" s="76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44.99'' W 99° 10' 00.12''</v>
      </c>
      <c r="X67" s="77">
        <v>1627</v>
      </c>
      <c r="Y67" s="78">
        <v>0</v>
      </c>
      <c r="Z67" s="78">
        <v>0</v>
      </c>
      <c r="AA67" s="78">
        <v>3.63</v>
      </c>
      <c r="AB67" s="78">
        <v>6</v>
      </c>
      <c r="AC67" s="78">
        <v>0</v>
      </c>
      <c r="AD67" s="78">
        <v>0</v>
      </c>
      <c r="AE67" s="78">
        <f>SUM(tbSabana2016[[#This Row],[Arbolado Adulto (HA)]:[Suelo Orgánico (HA)]])</f>
        <v>9.629999999999999</v>
      </c>
      <c r="AF67" s="9">
        <f t="shared" si="38"/>
        <v>408.42999999999989</v>
      </c>
      <c r="AG67" s="76">
        <f>tbSabana2016[[#This Row],[Acumulado (HA)]]/tbSabana2016[[#This Row],[Incendio en el AÑO]]</f>
        <v>6.4830158730158711</v>
      </c>
      <c r="AH67" s="25" t="s">
        <v>147</v>
      </c>
      <c r="AI67" s="25" t="s">
        <v>165</v>
      </c>
      <c r="AJ67" s="25" t="s">
        <v>135</v>
      </c>
      <c r="AK67" s="25" t="s">
        <v>175</v>
      </c>
      <c r="AL67" s="25" t="s">
        <v>150</v>
      </c>
      <c r="AM67" s="25" t="s">
        <v>151</v>
      </c>
      <c r="AN67" s="79">
        <v>43536.472222222219</v>
      </c>
      <c r="AO67" s="79">
        <v>43536.475694444445</v>
      </c>
      <c r="AP67" s="79">
        <v>43536.479166666664</v>
      </c>
      <c r="AQ67" s="79">
        <v>43536.527777777781</v>
      </c>
      <c r="AR67" s="79">
        <v>43536.534722222219</v>
      </c>
      <c r="AS67" s="79"/>
      <c r="AT67" s="79">
        <v>43536.625</v>
      </c>
      <c r="AU67" s="79">
        <v>43536.680555555555</v>
      </c>
      <c r="AV67" s="79"/>
      <c r="AW67" s="80">
        <v>0.20833333333333334</v>
      </c>
      <c r="AX67" s="81">
        <v>3.472222222222222E-3</v>
      </c>
      <c r="AY67" s="81">
        <v>5.2083333333333336E-2</v>
      </c>
      <c r="AZ67" s="80">
        <f>SUM(tbSabana2016[[#This Row],[Duración]])</f>
        <v>0.20833333333333334</v>
      </c>
      <c r="BA67" s="25">
        <v>0.5</v>
      </c>
      <c r="BB67" s="25">
        <v>1</v>
      </c>
      <c r="BC67" s="25">
        <v>0</v>
      </c>
      <c r="BD67" s="25">
        <v>0</v>
      </c>
      <c r="BE67" s="25">
        <v>1.3</v>
      </c>
      <c r="BF67" s="25">
        <v>0</v>
      </c>
      <c r="BG67" s="25">
        <v>0.6</v>
      </c>
      <c r="BH67" s="25">
        <v>1</v>
      </c>
      <c r="BI67" s="25">
        <v>0</v>
      </c>
      <c r="BJ67" s="25" t="s">
        <v>176</v>
      </c>
      <c r="BK67" s="25">
        <v>1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/>
      <c r="BT67" s="25">
        <v>7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>
        <v>0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25">
        <v>0</v>
      </c>
      <c r="CN67" s="74">
        <f t="shared" si="44"/>
        <v>7</v>
      </c>
      <c r="CO67" s="82">
        <f t="shared" si="40"/>
        <v>769</v>
      </c>
      <c r="CP67" s="82">
        <f t="shared" si="45"/>
        <v>7</v>
      </c>
      <c r="CQ67" s="83">
        <f>SUM(tbSabana2016[[#This Row],[Voluntarios]])</f>
        <v>0</v>
      </c>
      <c r="CR67" s="84">
        <f>tbSabana2016[[#This Row],[CONAFOR (Oficiales)]]*383</f>
        <v>2681</v>
      </c>
      <c r="CS67" s="84">
        <f>(tbSabana2016[[#This Row],[Total (Oficiales)]]-tbSabana2016[[#This Row],[CONAFOR (Oficiales)]])*217</f>
        <v>0</v>
      </c>
      <c r="CT67" s="84">
        <f>SUM(tbSabana2016[[#This Row],[Costo CONAFOR]:[Costo Otros]])</f>
        <v>2681</v>
      </c>
      <c r="CU67" s="84">
        <v>139.93</v>
      </c>
      <c r="CV67" s="84">
        <f t="shared" si="46"/>
        <v>2820.93</v>
      </c>
      <c r="CW67" s="25" t="s">
        <v>154</v>
      </c>
      <c r="CX67" s="25" t="s">
        <v>154</v>
      </c>
      <c r="CY67" s="85" t="s">
        <v>154</v>
      </c>
      <c r="CZ67" s="25" t="s">
        <v>154</v>
      </c>
      <c r="DA67" s="25" t="s">
        <v>172</v>
      </c>
      <c r="DB67" s="25" t="s">
        <v>155</v>
      </c>
      <c r="DC67" s="25" t="s">
        <v>168</v>
      </c>
      <c r="DD67" s="25" t="s">
        <v>169</v>
      </c>
      <c r="DE67" s="25" t="s">
        <v>170</v>
      </c>
      <c r="DF67" s="25" t="s">
        <v>159</v>
      </c>
      <c r="DG67" s="25" t="s">
        <v>475</v>
      </c>
      <c r="DH67" s="25">
        <v>0</v>
      </c>
      <c r="DI67" s="25">
        <v>0</v>
      </c>
      <c r="DJ67" s="25">
        <v>3.63</v>
      </c>
      <c r="DK67" s="25">
        <v>6</v>
      </c>
      <c r="DL67" s="25">
        <v>0</v>
      </c>
      <c r="DM67" s="25">
        <v>0</v>
      </c>
      <c r="DN67" s="25">
        <f t="shared" si="47"/>
        <v>9.629999999999999</v>
      </c>
      <c r="DO67" s="46"/>
      <c r="DP67" s="2"/>
      <c r="DQ67" s="2"/>
      <c r="DR67" s="2"/>
      <c r="DS67" s="2"/>
      <c r="DT67" s="2"/>
      <c r="DU67" s="2"/>
      <c r="DV67" s="2"/>
    </row>
    <row r="68" spans="1:126" x14ac:dyDescent="0.25">
      <c r="A68" s="2" t="s">
        <v>470</v>
      </c>
      <c r="B68" s="25">
        <v>64</v>
      </c>
      <c r="C68" s="35">
        <v>43536</v>
      </c>
      <c r="D68" s="35">
        <v>43536</v>
      </c>
      <c r="E6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8" s="2">
        <v>58</v>
      </c>
      <c r="G68" s="25">
        <v>1</v>
      </c>
      <c r="H68" s="47">
        <f>WEEKNUM(tbSabana2016[[#This Row],[Fecha de Inicio]],15)</f>
        <v>11</v>
      </c>
      <c r="I68" s="36" t="str">
        <f>TEXT(tbSabana2016[[#This Row],[Fecha de Inicio]],"dddd")</f>
        <v>martes</v>
      </c>
      <c r="J68" s="36" t="str">
        <f>TEXT(tbSabana2016[[#This Row],[Fecha de Inicio]],"mmmm")</f>
        <v>marzo</v>
      </c>
      <c r="K68" s="37" t="s">
        <v>143</v>
      </c>
      <c r="L68" s="23">
        <v>9</v>
      </c>
      <c r="M68" s="38" t="s">
        <v>144</v>
      </c>
      <c r="N68" s="38" t="s">
        <v>144</v>
      </c>
      <c r="O68" s="38" t="s">
        <v>472</v>
      </c>
      <c r="P68" s="38"/>
      <c r="Q68" s="47">
        <v>19</v>
      </c>
      <c r="R68" s="102">
        <v>4</v>
      </c>
      <c r="S68" s="105">
        <v>35.9</v>
      </c>
      <c r="T68" s="102">
        <v>99</v>
      </c>
      <c r="U68" s="102">
        <v>14</v>
      </c>
      <c r="V68" s="105">
        <v>52.1</v>
      </c>
      <c r="W6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35.90'' W 99° 14' 52.10''</v>
      </c>
      <c r="X68" s="44">
        <v>2885</v>
      </c>
      <c r="Y68" s="19">
        <v>0</v>
      </c>
      <c r="Z68" s="19">
        <v>0</v>
      </c>
      <c r="AA68" s="19">
        <v>0</v>
      </c>
      <c r="AB68" s="19">
        <v>0.9</v>
      </c>
      <c r="AC68" s="19">
        <v>0</v>
      </c>
      <c r="AD68" s="19">
        <v>0</v>
      </c>
      <c r="AE68" s="19">
        <f>SUM(tbSabana2016[[#This Row],[Arbolado Adulto (HA)]:[Suelo Orgánico (HA)]])</f>
        <v>0.9</v>
      </c>
      <c r="AF68" s="9">
        <f t="shared" si="38"/>
        <v>409.32999999999987</v>
      </c>
      <c r="AG68" s="9">
        <f>tbSabana2016[[#This Row],[Acumulado (HA)]]/tbSabana2016[[#This Row],[Incendio en el AÑO]]</f>
        <v>6.395781249999998</v>
      </c>
      <c r="AH68" s="2" t="s">
        <v>147</v>
      </c>
      <c r="AI68" s="2" t="s">
        <v>165</v>
      </c>
      <c r="AJ68" s="2" t="s">
        <v>133</v>
      </c>
      <c r="AK68" s="2" t="s">
        <v>149</v>
      </c>
      <c r="AL68" s="2" t="s">
        <v>150</v>
      </c>
      <c r="AM68" s="2" t="s">
        <v>151</v>
      </c>
      <c r="AN68" s="32">
        <v>43536.522916666669</v>
      </c>
      <c r="AO68" s="32">
        <v>43536.526388888888</v>
      </c>
      <c r="AP68" s="32">
        <v>43536.527777777781</v>
      </c>
      <c r="AQ68" s="32" t="s">
        <v>473</v>
      </c>
      <c r="AR68" s="32">
        <v>43536.5625</v>
      </c>
      <c r="AS68" s="32"/>
      <c r="AT68" s="32">
        <v>43536.604166666664</v>
      </c>
      <c r="AU68" s="32">
        <v>43536.614583333336</v>
      </c>
      <c r="AV68" s="32"/>
      <c r="AW68" s="40">
        <v>9.375E-2</v>
      </c>
      <c r="AX68" s="39">
        <v>3.472222222222222E-3</v>
      </c>
      <c r="AY68" s="39">
        <v>3.6111111111111115E-2</v>
      </c>
      <c r="AZ68" s="40">
        <f>SUM(tbSabana2016[[#This Row],[Duración]])</f>
        <v>9.375E-2</v>
      </c>
      <c r="BA68" s="2">
        <v>0.2</v>
      </c>
      <c r="BB68" s="2">
        <v>0.2</v>
      </c>
      <c r="BC68" s="2">
        <v>0</v>
      </c>
      <c r="BD68" s="2">
        <v>0</v>
      </c>
      <c r="BE68" s="2">
        <v>0.1</v>
      </c>
      <c r="BF68" s="2">
        <v>0</v>
      </c>
      <c r="BG68" s="2">
        <v>0</v>
      </c>
      <c r="BH68" s="2">
        <v>0.5</v>
      </c>
      <c r="BI68" s="2">
        <v>0</v>
      </c>
      <c r="BJ68" s="2" t="s">
        <v>206</v>
      </c>
      <c r="BK68" s="2">
        <v>0</v>
      </c>
      <c r="BL68" s="2">
        <v>0</v>
      </c>
      <c r="BM68" s="2">
        <v>1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 t="s">
        <v>153</v>
      </c>
      <c r="BT68" s="2">
        <v>10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4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3">
        <f t="shared" si="44"/>
        <v>14</v>
      </c>
      <c r="CO68" s="10">
        <f t="shared" si="40"/>
        <v>783</v>
      </c>
      <c r="CP68" s="10">
        <f t="shared" si="45"/>
        <v>14</v>
      </c>
      <c r="CQ68" s="24">
        <f>SUM(tbSabana2016[[#This Row],[Voluntarios]])</f>
        <v>0</v>
      </c>
      <c r="CR68" s="8">
        <f>tbSabana2016[[#This Row],[CONAFOR (Oficiales)]]*383</f>
        <v>3830</v>
      </c>
      <c r="CS68" s="8">
        <f>(tbSabana2016[[#This Row],[Total (Oficiales)]]-tbSabana2016[[#This Row],[CONAFOR (Oficiales)]])*217</f>
        <v>868</v>
      </c>
      <c r="CT68" s="8">
        <f>SUM(tbSabana2016[[#This Row],[Costo CONAFOR]:[Costo Otros]])</f>
        <v>4698</v>
      </c>
      <c r="CU68" s="8">
        <v>209</v>
      </c>
      <c r="CV68" s="8">
        <f t="shared" si="46"/>
        <v>4907</v>
      </c>
      <c r="CW68" s="2" t="s">
        <v>154</v>
      </c>
      <c r="CX68" s="2" t="s">
        <v>154</v>
      </c>
      <c r="CY68" s="69" t="s">
        <v>154</v>
      </c>
      <c r="CZ68" s="2" t="s">
        <v>154</v>
      </c>
      <c r="DA68" s="2" t="s">
        <v>172</v>
      </c>
      <c r="DB68" s="2" t="s">
        <v>155</v>
      </c>
      <c r="DC68" s="2" t="s">
        <v>156</v>
      </c>
      <c r="DD68" s="2" t="s">
        <v>157</v>
      </c>
      <c r="DE68" s="2" t="s">
        <v>158</v>
      </c>
      <c r="DF68" s="2" t="s">
        <v>159</v>
      </c>
      <c r="DG68" s="2" t="s">
        <v>160</v>
      </c>
      <c r="DH68" s="2">
        <v>0</v>
      </c>
      <c r="DI68" s="2">
        <v>0</v>
      </c>
      <c r="DJ68" s="2">
        <v>0</v>
      </c>
      <c r="DK68" s="2">
        <v>0.9</v>
      </c>
      <c r="DL68" s="2">
        <v>0</v>
      </c>
      <c r="DM68" s="2">
        <v>0</v>
      </c>
      <c r="DN68" s="2">
        <f t="shared" si="47"/>
        <v>0.9</v>
      </c>
    </row>
    <row r="69" spans="1:126" x14ac:dyDescent="0.25">
      <c r="A69" s="2" t="s">
        <v>471</v>
      </c>
      <c r="B69" s="25">
        <v>65</v>
      </c>
      <c r="C69" s="35">
        <v>43536</v>
      </c>
      <c r="D69" s="35">
        <v>43536</v>
      </c>
      <c r="E6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69" s="2">
        <v>59</v>
      </c>
      <c r="G69" s="25">
        <v>1</v>
      </c>
      <c r="H69" s="47">
        <f>WEEKNUM(tbSabana2016[[#This Row],[Fecha de Inicio]],15)</f>
        <v>11</v>
      </c>
      <c r="I69" s="36" t="str">
        <f>TEXT(tbSabana2016[[#This Row],[Fecha de Inicio]],"dddd")</f>
        <v>martes</v>
      </c>
      <c r="J69" s="36" t="str">
        <f>TEXT(tbSabana2016[[#This Row],[Fecha de Inicio]],"mmmm")</f>
        <v>marzo</v>
      </c>
      <c r="K69" s="37" t="s">
        <v>143</v>
      </c>
      <c r="L69" s="23">
        <v>9</v>
      </c>
      <c r="M69" s="38" t="s">
        <v>144</v>
      </c>
      <c r="N69" s="38" t="s">
        <v>144</v>
      </c>
      <c r="O69" s="38" t="s">
        <v>474</v>
      </c>
      <c r="P69" s="38" t="s">
        <v>219</v>
      </c>
      <c r="Q69" s="47">
        <v>19</v>
      </c>
      <c r="R69" s="102">
        <v>3</v>
      </c>
      <c r="S69" s="105">
        <v>25.61</v>
      </c>
      <c r="T69" s="102">
        <v>99</v>
      </c>
      <c r="U69" s="102">
        <v>15</v>
      </c>
      <c r="V69" s="105">
        <v>51.27</v>
      </c>
      <c r="W6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25.61'' W 99° 15' 51.27''</v>
      </c>
      <c r="X69" s="44">
        <v>2782</v>
      </c>
      <c r="Y69" s="19">
        <v>0</v>
      </c>
      <c r="Z69" s="19">
        <v>0</v>
      </c>
      <c r="AA69" s="19">
        <v>0</v>
      </c>
      <c r="AB69" s="19">
        <v>5.26</v>
      </c>
      <c r="AC69" s="19">
        <v>0</v>
      </c>
      <c r="AD69" s="19">
        <v>0</v>
      </c>
      <c r="AE69" s="19">
        <f>SUM(tbSabana2016[[#This Row],[Arbolado Adulto (HA)]:[Suelo Orgánico (HA)]])</f>
        <v>5.26</v>
      </c>
      <c r="AF69" s="9">
        <f t="shared" si="38"/>
        <v>414.58999999999986</v>
      </c>
      <c r="AG69" s="9">
        <f>tbSabana2016[[#This Row],[Acumulado (HA)]]/tbSabana2016[[#This Row],[Incendio en el AÑO]]</f>
        <v>6.3783076923076898</v>
      </c>
      <c r="AH69" s="2" t="s">
        <v>147</v>
      </c>
      <c r="AI69" s="2" t="s">
        <v>165</v>
      </c>
      <c r="AJ69" s="2" t="s">
        <v>133</v>
      </c>
      <c r="AK69" s="2" t="s">
        <v>149</v>
      </c>
      <c r="AL69" s="2" t="s">
        <v>150</v>
      </c>
      <c r="AM69" s="2" t="s">
        <v>151</v>
      </c>
      <c r="AN69" s="32">
        <v>43536.604166666664</v>
      </c>
      <c r="AO69" s="32">
        <v>43536.607638888891</v>
      </c>
      <c r="AP69" s="32">
        <v>43536.614583333336</v>
      </c>
      <c r="AQ69" s="32">
        <v>43536.625</v>
      </c>
      <c r="AR69" s="32">
        <v>43536.628472222219</v>
      </c>
      <c r="AS69" s="32"/>
      <c r="AT69" s="32">
        <v>43536.694444444445</v>
      </c>
      <c r="AU69" s="32">
        <v>43536.729166666664</v>
      </c>
      <c r="AV69" s="32">
        <v>43536.791666666664</v>
      </c>
      <c r="AW69" s="40">
        <v>0.125</v>
      </c>
      <c r="AX69" s="39">
        <v>3.472222222222222E-3</v>
      </c>
      <c r="AY69" s="39">
        <v>1.7361111111111112E-2</v>
      </c>
      <c r="AZ69" s="40">
        <f>SUM(tbSabana2016[[#This Row],[Duración]])</f>
        <v>0.125</v>
      </c>
      <c r="BA69" s="2">
        <v>0.5</v>
      </c>
      <c r="BB69" s="2">
        <v>1</v>
      </c>
      <c r="BC69" s="2">
        <v>0</v>
      </c>
      <c r="BD69" s="2">
        <v>0</v>
      </c>
      <c r="BE69" s="2">
        <v>0.7</v>
      </c>
      <c r="BF69" s="2">
        <v>0</v>
      </c>
      <c r="BG69" s="2">
        <v>0</v>
      </c>
      <c r="BH69" s="2">
        <v>1.2</v>
      </c>
      <c r="BI69" s="2">
        <v>0</v>
      </c>
      <c r="BJ69" s="2" t="s">
        <v>206</v>
      </c>
      <c r="BK69" s="2">
        <v>0</v>
      </c>
      <c r="BL69" s="2">
        <v>0</v>
      </c>
      <c r="BM69" s="2">
        <v>1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 t="s">
        <v>243</v>
      </c>
      <c r="BT69" s="2">
        <v>10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13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3">
        <f t="shared" si="44"/>
        <v>23</v>
      </c>
      <c r="CO69" s="10">
        <f t="shared" si="40"/>
        <v>806</v>
      </c>
      <c r="CP69" s="10">
        <f t="shared" si="45"/>
        <v>23</v>
      </c>
      <c r="CQ69" s="24">
        <f>SUM(tbSabana2016[[#This Row],[Voluntarios]])</f>
        <v>0</v>
      </c>
      <c r="CR69" s="8">
        <f>tbSabana2016[[#This Row],[CONAFOR (Oficiales)]]*383</f>
        <v>3830</v>
      </c>
      <c r="CS69" s="8">
        <f>(tbSabana2016[[#This Row],[Total (Oficiales)]]-tbSabana2016[[#This Row],[CONAFOR (Oficiales)]])*217</f>
        <v>2821</v>
      </c>
      <c r="CT69" s="8">
        <f>SUM(tbSabana2016[[#This Row],[Costo CONAFOR]:[Costo Otros]])</f>
        <v>6651</v>
      </c>
      <c r="CU69" s="8">
        <v>247</v>
      </c>
      <c r="CV69" s="8">
        <f t="shared" si="46"/>
        <v>6898</v>
      </c>
      <c r="CW69" s="2" t="s">
        <v>154</v>
      </c>
      <c r="CX69" s="2" t="s">
        <v>154</v>
      </c>
      <c r="CY69" s="69" t="s">
        <v>154</v>
      </c>
      <c r="CZ69" s="2" t="s">
        <v>154</v>
      </c>
      <c r="DA69" s="2" t="s">
        <v>172</v>
      </c>
      <c r="DB69" s="2" t="s">
        <v>155</v>
      </c>
      <c r="DC69" s="2" t="s">
        <v>156</v>
      </c>
      <c r="DD69" s="2" t="s">
        <v>157</v>
      </c>
      <c r="DE69" s="2" t="s">
        <v>158</v>
      </c>
      <c r="DF69" s="2" t="s">
        <v>159</v>
      </c>
      <c r="DG69" s="2" t="s">
        <v>160</v>
      </c>
      <c r="DH69" s="2">
        <v>0</v>
      </c>
      <c r="DI69" s="2">
        <v>0</v>
      </c>
      <c r="DJ69" s="2">
        <v>0</v>
      </c>
      <c r="DK69" s="2">
        <v>5.26</v>
      </c>
      <c r="DL69" s="2">
        <v>0</v>
      </c>
      <c r="DM69" s="2">
        <v>0</v>
      </c>
      <c r="DN69" s="2">
        <f t="shared" si="47"/>
        <v>5.26</v>
      </c>
    </row>
    <row r="70" spans="1:126" x14ac:dyDescent="0.25">
      <c r="A70" s="2" t="s">
        <v>476</v>
      </c>
      <c r="B70" s="25">
        <v>66</v>
      </c>
      <c r="C70" s="35">
        <v>43536</v>
      </c>
      <c r="D70" s="35">
        <v>43536</v>
      </c>
      <c r="E7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0" s="2">
        <v>60</v>
      </c>
      <c r="G70" s="25">
        <v>1</v>
      </c>
      <c r="H70" s="47">
        <f>WEEKNUM(tbSabana2016[[#This Row],[Fecha de Inicio]],15)</f>
        <v>11</v>
      </c>
      <c r="I70" s="36" t="str">
        <f>TEXT(tbSabana2016[[#This Row],[Fecha de Inicio]],"dddd")</f>
        <v>martes</v>
      </c>
      <c r="J70" s="36" t="str">
        <f>TEXT(tbSabana2016[[#This Row],[Fecha de Inicio]],"mmmm")</f>
        <v>marzo</v>
      </c>
      <c r="K70" s="37" t="s">
        <v>143</v>
      </c>
      <c r="L70" s="23">
        <v>9</v>
      </c>
      <c r="M70" s="38" t="s">
        <v>144</v>
      </c>
      <c r="N70" s="38" t="s">
        <v>477</v>
      </c>
      <c r="O70" s="38" t="s">
        <v>478</v>
      </c>
      <c r="P70" s="38" t="s">
        <v>174</v>
      </c>
      <c r="Q70" s="47">
        <v>19</v>
      </c>
      <c r="R70" s="102">
        <v>3</v>
      </c>
      <c r="S70" s="105">
        <v>7.1</v>
      </c>
      <c r="T70" s="102">
        <v>99</v>
      </c>
      <c r="U70" s="102">
        <v>12</v>
      </c>
      <c r="V70" s="105">
        <v>51.7</v>
      </c>
      <c r="W7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07.10'' W 99° 12' 51.70''</v>
      </c>
      <c r="X70" s="44">
        <v>2967</v>
      </c>
      <c r="Y70" s="19">
        <v>0</v>
      </c>
      <c r="Z70" s="19">
        <v>0</v>
      </c>
      <c r="AA70" s="19">
        <v>0</v>
      </c>
      <c r="AB70" s="19">
        <v>0.8</v>
      </c>
      <c r="AC70" s="19">
        <v>0</v>
      </c>
      <c r="AD70" s="19">
        <v>0</v>
      </c>
      <c r="AE70" s="19">
        <f>SUM(tbSabana2016[[#This Row],[Arbolado Adulto (HA)]:[Suelo Orgánico (HA)]])</f>
        <v>0.8</v>
      </c>
      <c r="AF70" s="9">
        <f t="shared" si="38"/>
        <v>415.38999999999987</v>
      </c>
      <c r="AG70" s="9">
        <f>tbSabana2016[[#This Row],[Acumulado (HA)]]/tbSabana2016[[#This Row],[Incendio en el AÑO]]</f>
        <v>6.2937878787878772</v>
      </c>
      <c r="AH70" s="2" t="s">
        <v>147</v>
      </c>
      <c r="AI70" s="2" t="s">
        <v>165</v>
      </c>
      <c r="AJ70" s="2" t="s">
        <v>133</v>
      </c>
      <c r="AK70" s="2" t="s">
        <v>149</v>
      </c>
      <c r="AL70" s="2" t="s">
        <v>150</v>
      </c>
      <c r="AM70" s="2" t="s">
        <v>151</v>
      </c>
      <c r="AN70" s="32">
        <v>43536.722222222219</v>
      </c>
      <c r="AO70" s="32">
        <v>43536.725694444445</v>
      </c>
      <c r="AP70" s="32">
        <v>43536.729166666664</v>
      </c>
      <c r="AQ70" s="32">
        <v>43536.763888888891</v>
      </c>
      <c r="AR70" s="32">
        <v>43536.770833333336</v>
      </c>
      <c r="AS70" s="32"/>
      <c r="AT70" s="32">
        <v>43536.791666666664</v>
      </c>
      <c r="AU70" s="32">
        <v>43536.819444444445</v>
      </c>
      <c r="AV70" s="32">
        <v>43536.895833333336</v>
      </c>
      <c r="AW70" s="40">
        <v>9.7222222222222224E-2</v>
      </c>
      <c r="AX70" s="39">
        <v>3.472222222222222E-3</v>
      </c>
      <c r="AY70" s="39">
        <v>3.8194444444444441E-2</v>
      </c>
      <c r="AZ70" s="40">
        <f>SUM(tbSabana2016[[#This Row],[Duración]])</f>
        <v>9.7222222222222224E-2</v>
      </c>
      <c r="BA70" s="2">
        <v>0.2</v>
      </c>
      <c r="BB70" s="2">
        <v>0.05</v>
      </c>
      <c r="BC70" s="2">
        <v>0</v>
      </c>
      <c r="BD70" s="2">
        <v>0</v>
      </c>
      <c r="BE70" s="2">
        <v>0.3</v>
      </c>
      <c r="BF70" s="2">
        <v>0</v>
      </c>
      <c r="BG70" s="2">
        <v>0</v>
      </c>
      <c r="BH70" s="2">
        <v>0.9</v>
      </c>
      <c r="BI70" s="2">
        <v>0</v>
      </c>
      <c r="BJ70" s="2" t="s">
        <v>176</v>
      </c>
      <c r="BK70" s="2">
        <v>1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 t="s">
        <v>46</v>
      </c>
      <c r="BT70" s="2">
        <v>7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8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3">
        <f t="shared" ref="CN70:CN75" si="48">SUM(BT70:CM70)</f>
        <v>15</v>
      </c>
      <c r="CO70" s="10">
        <f t="shared" si="40"/>
        <v>821</v>
      </c>
      <c r="CP70" s="10">
        <f t="shared" ref="CP70:CP75" si="49">SUM(BT70:CG70,CI70:CM70)</f>
        <v>7</v>
      </c>
      <c r="CQ70" s="24">
        <f>SUM(tbSabana2016[[#This Row],[Voluntarios]])</f>
        <v>8</v>
      </c>
      <c r="CR70" s="8">
        <f>tbSabana2016[[#This Row],[CONAFOR (Oficiales)]]*383</f>
        <v>2681</v>
      </c>
      <c r="CS70" s="8">
        <f>(tbSabana2016[[#This Row],[Total (Oficiales)]]-tbSabana2016[[#This Row],[CONAFOR (Oficiales)]])*217</f>
        <v>1736</v>
      </c>
      <c r="CT70" s="8">
        <f>SUM(tbSabana2016[[#This Row],[Costo CONAFOR]:[Costo Otros]])</f>
        <v>4417</v>
      </c>
      <c r="CU70" s="8">
        <v>213.22</v>
      </c>
      <c r="CV70" s="8">
        <f t="shared" ref="CV70:CV75" si="50">SUM(CT70:CU70)</f>
        <v>4630.22</v>
      </c>
      <c r="CW70" s="2" t="s">
        <v>154</v>
      </c>
      <c r="CX70" s="2" t="s">
        <v>154</v>
      </c>
      <c r="CY70" s="69" t="s">
        <v>154</v>
      </c>
      <c r="CZ70" s="2" t="s">
        <v>154</v>
      </c>
      <c r="DA70" s="2" t="s">
        <v>172</v>
      </c>
      <c r="DB70" s="2" t="s">
        <v>155</v>
      </c>
      <c r="DC70" s="2" t="s">
        <v>256</v>
      </c>
      <c r="DD70" s="2" t="s">
        <v>257</v>
      </c>
      <c r="DE70" s="2" t="s">
        <v>158</v>
      </c>
      <c r="DF70" s="2" t="s">
        <v>159</v>
      </c>
      <c r="DG70" s="2" t="s">
        <v>160</v>
      </c>
      <c r="DH70" s="2">
        <v>0</v>
      </c>
      <c r="DI70" s="2">
        <v>0</v>
      </c>
      <c r="DJ70" s="2">
        <v>0</v>
      </c>
      <c r="DK70" s="2">
        <v>0.8</v>
      </c>
      <c r="DL70" s="2">
        <v>0</v>
      </c>
      <c r="DM70" s="2">
        <v>0</v>
      </c>
      <c r="DN70" s="2">
        <f t="shared" ref="DN70:DN75" si="51">SUM(DH70:DM70)</f>
        <v>0.8</v>
      </c>
    </row>
    <row r="71" spans="1:126" x14ac:dyDescent="0.25">
      <c r="A71" s="2" t="s">
        <v>479</v>
      </c>
      <c r="B71" s="25">
        <v>67</v>
      </c>
      <c r="C71" s="35">
        <v>43538</v>
      </c>
      <c r="D71" s="35">
        <v>43538</v>
      </c>
      <c r="E7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1" s="2">
        <v>61</v>
      </c>
      <c r="G71" s="25">
        <v>1</v>
      </c>
      <c r="H71" s="47">
        <f>WEEKNUM(tbSabana2016[[#This Row],[Fecha de Inicio]],15)</f>
        <v>11</v>
      </c>
      <c r="I71" s="36" t="str">
        <f>TEXT(tbSabana2016[[#This Row],[Fecha de Inicio]],"dddd")</f>
        <v>jueves</v>
      </c>
      <c r="J71" s="36" t="str">
        <f>TEXT(tbSabana2016[[#This Row],[Fecha de Inicio]],"mmmm")</f>
        <v>marzo</v>
      </c>
      <c r="K71" s="37" t="s">
        <v>143</v>
      </c>
      <c r="L71" s="23">
        <v>20</v>
      </c>
      <c r="M71" s="38" t="s">
        <v>162</v>
      </c>
      <c r="N71" s="38" t="s">
        <v>163</v>
      </c>
      <c r="O71" s="38" t="s">
        <v>220</v>
      </c>
      <c r="P71" s="38" t="s">
        <v>146</v>
      </c>
      <c r="Q71" s="47">
        <v>18</v>
      </c>
      <c r="R71" s="102">
        <v>58</v>
      </c>
      <c r="S71" s="105">
        <v>2.12</v>
      </c>
      <c r="T71" s="102">
        <v>99</v>
      </c>
      <c r="U71" s="102">
        <v>10</v>
      </c>
      <c r="V71" s="105">
        <v>34.89</v>
      </c>
      <c r="W7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02.12'' W 99° 10' 34.89''</v>
      </c>
      <c r="X71" s="44">
        <v>1676</v>
      </c>
      <c r="Y71" s="19">
        <v>0</v>
      </c>
      <c r="Z71" s="19">
        <v>0</v>
      </c>
      <c r="AA71" s="19">
        <v>0.4</v>
      </c>
      <c r="AB71" s="19">
        <v>0.5</v>
      </c>
      <c r="AC71" s="19">
        <v>0</v>
      </c>
      <c r="AD71" s="19">
        <v>0</v>
      </c>
      <c r="AE71" s="19">
        <f>SUM(tbSabana2016[[#This Row],[Arbolado Adulto (HA)]:[Suelo Orgánico (HA)]])</f>
        <v>0.9</v>
      </c>
      <c r="AF71" s="9">
        <f t="shared" si="38"/>
        <v>416.28999999999985</v>
      </c>
      <c r="AG71" s="9">
        <f>tbSabana2016[[#This Row],[Acumulado (HA)]]/tbSabana2016[[#This Row],[Incendio en el AÑO]]</f>
        <v>6.2132835820895496</v>
      </c>
      <c r="AH71" s="2" t="s">
        <v>147</v>
      </c>
      <c r="AI71" s="2" t="s">
        <v>165</v>
      </c>
      <c r="AJ71" s="2" t="s">
        <v>135</v>
      </c>
      <c r="AK71" s="2" t="s">
        <v>175</v>
      </c>
      <c r="AL71" s="2" t="s">
        <v>150</v>
      </c>
      <c r="AM71" s="2" t="s">
        <v>151</v>
      </c>
      <c r="AN71" s="32">
        <v>43538.583333333336</v>
      </c>
      <c r="AO71" s="32">
        <v>43538.586805555555</v>
      </c>
      <c r="AP71" s="32">
        <v>43538.590277777781</v>
      </c>
      <c r="AQ71" s="32">
        <v>43538.618055555555</v>
      </c>
      <c r="AR71" s="32">
        <v>43538.625</v>
      </c>
      <c r="AS71" s="32"/>
      <c r="AT71" s="32">
        <v>43538.666666666664</v>
      </c>
      <c r="AU71" s="32">
        <v>43538.6875</v>
      </c>
      <c r="AV71" s="32">
        <v>43538.729166666664</v>
      </c>
      <c r="AW71" s="40">
        <v>0.10416666666666667</v>
      </c>
      <c r="AX71" s="39">
        <v>3.472222222222222E-3</v>
      </c>
      <c r="AY71" s="39">
        <v>3.125E-2</v>
      </c>
      <c r="AZ71" s="40">
        <f>SUM(tbSabana2016[[#This Row],[Duración]])</f>
        <v>0.10416666666666667</v>
      </c>
      <c r="BA71" s="2">
        <v>0.3</v>
      </c>
      <c r="BB71" s="2">
        <v>0</v>
      </c>
      <c r="BC71" s="2">
        <v>0</v>
      </c>
      <c r="BD71" s="2">
        <v>0</v>
      </c>
      <c r="BE71" s="2">
        <v>0.3</v>
      </c>
      <c r="BF71" s="2">
        <v>0</v>
      </c>
      <c r="BG71" s="2">
        <v>0.2</v>
      </c>
      <c r="BH71" s="2">
        <v>0.5</v>
      </c>
      <c r="BI71" s="2">
        <v>0</v>
      </c>
      <c r="BJ71" s="2" t="s">
        <v>181</v>
      </c>
      <c r="BK71" s="2">
        <v>0</v>
      </c>
      <c r="BL71" s="2">
        <v>1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T71" s="2">
        <v>9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3">
        <f t="shared" si="48"/>
        <v>9</v>
      </c>
      <c r="CO71" s="10">
        <f t="shared" si="40"/>
        <v>830</v>
      </c>
      <c r="CP71" s="10">
        <f t="shared" si="49"/>
        <v>9</v>
      </c>
      <c r="CQ71" s="24">
        <f>SUM(tbSabana2016[[#This Row],[Voluntarios]])</f>
        <v>0</v>
      </c>
      <c r="CR71" s="8">
        <f>tbSabana2016[[#This Row],[CONAFOR (Oficiales)]]*383</f>
        <v>3447</v>
      </c>
      <c r="CS71" s="8">
        <f>(tbSabana2016[[#This Row],[Total (Oficiales)]]-tbSabana2016[[#This Row],[CONAFOR (Oficiales)]])*217</f>
        <v>0</v>
      </c>
      <c r="CT71" s="8">
        <f>SUM(tbSabana2016[[#This Row],[Costo CONAFOR]:[Costo Otros]])</f>
        <v>3447</v>
      </c>
      <c r="CU71" s="8">
        <v>134.59</v>
      </c>
      <c r="CV71" s="8">
        <f t="shared" si="50"/>
        <v>3581.59</v>
      </c>
      <c r="CW71" s="2" t="s">
        <v>154</v>
      </c>
      <c r="CX71" s="2" t="s">
        <v>154</v>
      </c>
      <c r="CY71" s="69" t="s">
        <v>154</v>
      </c>
      <c r="CZ71" s="2" t="s">
        <v>154</v>
      </c>
      <c r="DA71" s="2" t="s">
        <v>172</v>
      </c>
      <c r="DB71" s="2" t="s">
        <v>155</v>
      </c>
      <c r="DC71" s="2" t="s">
        <v>168</v>
      </c>
      <c r="DD71" s="2" t="s">
        <v>169</v>
      </c>
      <c r="DE71" s="2" t="s">
        <v>170</v>
      </c>
      <c r="DF71" s="2" t="s">
        <v>159</v>
      </c>
      <c r="DG71" s="2" t="s">
        <v>475</v>
      </c>
      <c r="DH71" s="2">
        <v>0</v>
      </c>
      <c r="DI71" s="2">
        <v>0</v>
      </c>
      <c r="DJ71" s="2">
        <v>0.4</v>
      </c>
      <c r="DK71" s="2">
        <v>0.5</v>
      </c>
      <c r="DL71" s="2">
        <v>0</v>
      </c>
      <c r="DM71" s="2">
        <v>0</v>
      </c>
      <c r="DN71" s="2">
        <f t="shared" si="51"/>
        <v>0.9</v>
      </c>
    </row>
    <row r="72" spans="1:126" x14ac:dyDescent="0.25">
      <c r="A72" s="2" t="s">
        <v>480</v>
      </c>
      <c r="B72" s="25">
        <v>68</v>
      </c>
      <c r="C72" s="35">
        <v>43538</v>
      </c>
      <c r="D72" s="35">
        <v>43538</v>
      </c>
      <c r="E7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2" s="2">
        <v>62</v>
      </c>
      <c r="G72" s="25">
        <v>1</v>
      </c>
      <c r="H72" s="47">
        <f>WEEKNUM(tbSabana2016[[#This Row],[Fecha de Inicio]],15)</f>
        <v>11</v>
      </c>
      <c r="I72" s="36" t="str">
        <f>TEXT(tbSabana2016[[#This Row],[Fecha de Inicio]],"dddd")</f>
        <v>jueves</v>
      </c>
      <c r="J72" s="36" t="str">
        <f>TEXT(tbSabana2016[[#This Row],[Fecha de Inicio]],"mmmm")</f>
        <v>marzo</v>
      </c>
      <c r="K72" s="37" t="s">
        <v>143</v>
      </c>
      <c r="L72" s="23">
        <v>9</v>
      </c>
      <c r="M72" s="38" t="s">
        <v>144</v>
      </c>
      <c r="N72" s="38" t="s">
        <v>144</v>
      </c>
      <c r="O72" s="38" t="s">
        <v>481</v>
      </c>
      <c r="P72" s="38"/>
      <c r="Q72" s="47">
        <v>19</v>
      </c>
      <c r="R72" s="102">
        <v>6</v>
      </c>
      <c r="S72" s="105">
        <v>29.3</v>
      </c>
      <c r="T72" s="102">
        <v>99</v>
      </c>
      <c r="U72" s="102">
        <v>18</v>
      </c>
      <c r="V72" s="105">
        <v>2</v>
      </c>
      <c r="W7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06' 29.30'' W 99° 18' 02.00''</v>
      </c>
      <c r="X72" s="44">
        <v>3160</v>
      </c>
      <c r="Y72" s="19">
        <v>0</v>
      </c>
      <c r="Z72" s="19">
        <v>0</v>
      </c>
      <c r="AA72" s="19">
        <v>0.4</v>
      </c>
      <c r="AB72" s="19">
        <v>0.4</v>
      </c>
      <c r="AC72" s="19">
        <v>0</v>
      </c>
      <c r="AD72" s="19">
        <v>0</v>
      </c>
      <c r="AE72" s="19">
        <f>SUM(tbSabana2016[[#This Row],[Arbolado Adulto (HA)]:[Suelo Orgánico (HA)]])</f>
        <v>0.8</v>
      </c>
      <c r="AF72" s="9">
        <f t="shared" si="38"/>
        <v>417.08999999999986</v>
      </c>
      <c r="AG72" s="9">
        <f>tbSabana2016[[#This Row],[Acumulado (HA)]]/tbSabana2016[[#This Row],[Incendio en el AÑO]]</f>
        <v>6.1336764705882336</v>
      </c>
      <c r="AH72" s="2" t="s">
        <v>147</v>
      </c>
      <c r="AI72" s="2" t="s">
        <v>165</v>
      </c>
      <c r="AJ72" s="2" t="s">
        <v>133</v>
      </c>
      <c r="AK72" s="2" t="s">
        <v>149</v>
      </c>
      <c r="AL72" s="2" t="s">
        <v>150</v>
      </c>
      <c r="AM72" s="2" t="s">
        <v>151</v>
      </c>
      <c r="AN72" s="32">
        <v>43538.607638888891</v>
      </c>
      <c r="AO72" s="32">
        <v>43538.609722222223</v>
      </c>
      <c r="AP72" s="32">
        <v>43538.611111111109</v>
      </c>
      <c r="AQ72" s="32">
        <v>43538.666666666664</v>
      </c>
      <c r="AR72" s="32">
        <v>43538.670138888891</v>
      </c>
      <c r="AS72" s="32"/>
      <c r="AT72" s="32">
        <v>43538.75</v>
      </c>
      <c r="AU72" s="32">
        <v>43538.791666666664</v>
      </c>
      <c r="AV72" s="32">
        <v>43538.854166666664</v>
      </c>
      <c r="AW72" s="40">
        <v>0.18402777777777779</v>
      </c>
      <c r="AX72" s="39">
        <v>2.0833333333333333E-3</v>
      </c>
      <c r="AY72" s="39">
        <v>5.6944444444444443E-2</v>
      </c>
      <c r="AZ72" s="40">
        <f>SUM(tbSabana2016[[#This Row],[Duración]])</f>
        <v>0.18402777777777779</v>
      </c>
      <c r="BA72" s="2">
        <v>0.08</v>
      </c>
      <c r="BB72" s="2">
        <v>0.06</v>
      </c>
      <c r="BC72" s="2">
        <v>0</v>
      </c>
      <c r="BD72" s="2">
        <v>0</v>
      </c>
      <c r="BE72" s="2">
        <v>0.05</v>
      </c>
      <c r="BF72" s="2">
        <v>0</v>
      </c>
      <c r="BG72" s="2">
        <v>0</v>
      </c>
      <c r="BH72" s="2">
        <v>0.08</v>
      </c>
      <c r="BI72" s="2">
        <v>0</v>
      </c>
      <c r="BJ72" s="2" t="s">
        <v>179</v>
      </c>
      <c r="BK72" s="2">
        <v>0</v>
      </c>
      <c r="BL72" s="2">
        <v>0</v>
      </c>
      <c r="BM72" s="2">
        <v>0</v>
      </c>
      <c r="BN72" s="2">
        <v>1</v>
      </c>
      <c r="BO72" s="2">
        <v>0</v>
      </c>
      <c r="BP72" s="2">
        <v>0</v>
      </c>
      <c r="BQ72" s="2">
        <v>0</v>
      </c>
      <c r="BR72" s="2">
        <v>0</v>
      </c>
      <c r="BT72" s="2">
        <v>9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3">
        <f t="shared" si="48"/>
        <v>9</v>
      </c>
      <c r="CO72" s="10">
        <f t="shared" si="40"/>
        <v>839</v>
      </c>
      <c r="CP72" s="10">
        <f t="shared" si="49"/>
        <v>9</v>
      </c>
      <c r="CQ72" s="24">
        <f>SUM(tbSabana2016[[#This Row],[Voluntarios]])</f>
        <v>0</v>
      </c>
      <c r="CR72" s="8">
        <f>tbSabana2016[[#This Row],[CONAFOR (Oficiales)]]*383</f>
        <v>3447</v>
      </c>
      <c r="CS72" s="8">
        <f>(tbSabana2016[[#This Row],[Total (Oficiales)]]-tbSabana2016[[#This Row],[CONAFOR (Oficiales)]])*217</f>
        <v>0</v>
      </c>
      <c r="CT72" s="8">
        <f>SUM(tbSabana2016[[#This Row],[Costo CONAFOR]:[Costo Otros]])</f>
        <v>3447</v>
      </c>
      <c r="CU72" s="8">
        <v>429.11</v>
      </c>
      <c r="CV72" s="8">
        <f t="shared" si="50"/>
        <v>3876.11</v>
      </c>
      <c r="CW72" s="2" t="s">
        <v>154</v>
      </c>
      <c r="CX72" s="2" t="s">
        <v>154</v>
      </c>
      <c r="CY72" s="69" t="s">
        <v>154</v>
      </c>
      <c r="CZ72" s="2" t="s">
        <v>154</v>
      </c>
      <c r="DA72" s="2" t="s">
        <v>172</v>
      </c>
      <c r="DB72" s="2" t="s">
        <v>155</v>
      </c>
      <c r="DC72" s="2" t="s">
        <v>362</v>
      </c>
      <c r="DD72" s="2" t="s">
        <v>370</v>
      </c>
      <c r="DE72" s="2" t="s">
        <v>158</v>
      </c>
      <c r="DF72" s="2" t="s">
        <v>159</v>
      </c>
      <c r="DG72" s="2" t="s">
        <v>160</v>
      </c>
      <c r="DH72" s="2">
        <v>0</v>
      </c>
      <c r="DI72" s="2">
        <v>0</v>
      </c>
      <c r="DJ72" s="2">
        <v>0.4</v>
      </c>
      <c r="DK72" s="2">
        <v>0.4</v>
      </c>
      <c r="DL72" s="2">
        <v>0</v>
      </c>
      <c r="DM72" s="2">
        <v>0</v>
      </c>
      <c r="DN72" s="2">
        <f t="shared" si="51"/>
        <v>0.8</v>
      </c>
    </row>
    <row r="73" spans="1:126" x14ac:dyDescent="0.25">
      <c r="A73" s="2" t="s">
        <v>482</v>
      </c>
      <c r="B73" s="25">
        <v>69</v>
      </c>
      <c r="C73" s="35">
        <v>43539</v>
      </c>
      <c r="D73" s="35">
        <v>43539</v>
      </c>
      <c r="E7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3" s="2">
        <v>63</v>
      </c>
      <c r="G73" s="2">
        <v>1</v>
      </c>
      <c r="H73" s="47">
        <f>WEEKNUM(tbSabana2016[[#This Row],[Fecha de Inicio]],15)</f>
        <v>12</v>
      </c>
      <c r="I73" s="36" t="str">
        <f>TEXT(tbSabana2016[[#This Row],[Fecha de Inicio]],"dddd")</f>
        <v>viernes</v>
      </c>
      <c r="J73" s="36" t="str">
        <f>TEXT(tbSabana2016[[#This Row],[Fecha de Inicio]],"mmmm")</f>
        <v>marzo</v>
      </c>
      <c r="K73" s="37" t="s">
        <v>143</v>
      </c>
      <c r="L73" s="23">
        <v>9</v>
      </c>
      <c r="M73" s="38" t="s">
        <v>144</v>
      </c>
      <c r="N73" s="38" t="s">
        <v>144</v>
      </c>
      <c r="O73" s="38" t="s">
        <v>485</v>
      </c>
      <c r="P73" s="38"/>
      <c r="Q73" s="47">
        <v>19</v>
      </c>
      <c r="R73" s="102">
        <v>0</v>
      </c>
      <c r="S73" s="105">
        <v>43.7</v>
      </c>
      <c r="T73" s="102">
        <v>99</v>
      </c>
      <c r="U73" s="102">
        <v>16</v>
      </c>
      <c r="V73" s="105">
        <v>20.3</v>
      </c>
      <c r="W7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43.70'' W 99° 16' 20.30''</v>
      </c>
      <c r="X73" s="44">
        <v>2279</v>
      </c>
      <c r="Y73" s="19">
        <v>0</v>
      </c>
      <c r="Z73" s="19">
        <v>0</v>
      </c>
      <c r="AA73" s="19">
        <v>0</v>
      </c>
      <c r="AB73" s="19">
        <v>0.3</v>
      </c>
      <c r="AC73" s="19">
        <v>0.6</v>
      </c>
      <c r="AD73" s="19">
        <v>0</v>
      </c>
      <c r="AE73" s="19">
        <f>SUM(tbSabana2016[[#This Row],[Arbolado Adulto (HA)]:[Suelo Orgánico (HA)]])</f>
        <v>0.89999999999999991</v>
      </c>
      <c r="AF73" s="9">
        <f t="shared" si="38"/>
        <v>417.98999999999984</v>
      </c>
      <c r="AG73" s="9">
        <f>tbSabana2016[[#This Row],[Acumulado (HA)]]/tbSabana2016[[#This Row],[Incendio en el AÑO]]</f>
        <v>6.0578260869565197</v>
      </c>
      <c r="AH73" s="2" t="s">
        <v>147</v>
      </c>
      <c r="AI73" s="2" t="s">
        <v>165</v>
      </c>
      <c r="AJ73" s="2" t="s">
        <v>416</v>
      </c>
      <c r="AK73" s="2" t="s">
        <v>166</v>
      </c>
      <c r="AL73" s="2" t="s">
        <v>150</v>
      </c>
      <c r="AM73" s="2" t="s">
        <v>151</v>
      </c>
      <c r="AN73" s="32">
        <v>43539.701388888891</v>
      </c>
      <c r="AO73" s="32">
        <v>43539.704861111109</v>
      </c>
      <c r="AP73" s="32">
        <v>43539.708333333336</v>
      </c>
      <c r="AQ73" s="32">
        <v>43539.729166666664</v>
      </c>
      <c r="AR73" s="32">
        <v>43539.732638888891</v>
      </c>
      <c r="AS73" s="32"/>
      <c r="AT73" s="32">
        <v>43539.770833333336</v>
      </c>
      <c r="AU73" s="32">
        <v>43539.8125</v>
      </c>
      <c r="AV73" s="32">
        <v>43539.833333333336</v>
      </c>
      <c r="AW73" s="40">
        <v>0.1111111111111111</v>
      </c>
      <c r="AX73" s="39">
        <v>3.472222222222222E-3</v>
      </c>
      <c r="AY73" s="39">
        <v>2.4305555555555556E-2</v>
      </c>
      <c r="AZ73" s="40">
        <f>SUM(tbSabana2016[[#This Row],[Duración]])</f>
        <v>0.1111111111111111</v>
      </c>
      <c r="BA73" s="2">
        <v>0</v>
      </c>
      <c r="BB73" s="2">
        <v>0.3</v>
      </c>
      <c r="BC73" s="2">
        <v>0</v>
      </c>
      <c r="BD73" s="2">
        <v>0</v>
      </c>
      <c r="BE73" s="2">
        <v>0.2</v>
      </c>
      <c r="BF73" s="2">
        <v>0</v>
      </c>
      <c r="BG73" s="2">
        <v>0</v>
      </c>
      <c r="BH73" s="2">
        <v>0</v>
      </c>
      <c r="BI73" s="2">
        <v>0</v>
      </c>
      <c r="BJ73" s="2" t="s">
        <v>206</v>
      </c>
      <c r="BK73" s="2">
        <v>0</v>
      </c>
      <c r="BL73" s="2">
        <v>0</v>
      </c>
      <c r="BM73" s="2">
        <v>1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 t="s">
        <v>153</v>
      </c>
      <c r="BT73" s="2">
        <v>10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3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3">
        <f t="shared" si="48"/>
        <v>13</v>
      </c>
      <c r="CO73" s="10">
        <f t="shared" si="40"/>
        <v>852</v>
      </c>
      <c r="CP73" s="10">
        <f t="shared" si="49"/>
        <v>13</v>
      </c>
      <c r="CQ73" s="24">
        <f>SUM(tbSabana2016[[#This Row],[Voluntarios]])</f>
        <v>0</v>
      </c>
      <c r="CR73" s="8">
        <f>tbSabana2016[[#This Row],[CONAFOR (Oficiales)]]*383</f>
        <v>3830</v>
      </c>
      <c r="CS73" s="8">
        <f>(tbSabana2016[[#This Row],[Total (Oficiales)]]-tbSabana2016[[#This Row],[CONAFOR (Oficiales)]])*217</f>
        <v>651</v>
      </c>
      <c r="CT73" s="8">
        <f>SUM(tbSabana2016[[#This Row],[Costo CONAFOR]:[Costo Otros]])</f>
        <v>4481</v>
      </c>
      <c r="CU73" s="8">
        <v>107.94</v>
      </c>
      <c r="CV73" s="8">
        <f t="shared" si="50"/>
        <v>4588.9399999999996</v>
      </c>
      <c r="CW73" s="2" t="s">
        <v>154</v>
      </c>
      <c r="CX73" s="2" t="s">
        <v>154</v>
      </c>
      <c r="CY73" s="69" t="s">
        <v>154</v>
      </c>
      <c r="CZ73" s="2" t="s">
        <v>154</v>
      </c>
      <c r="DA73" s="2" t="s">
        <v>172</v>
      </c>
      <c r="DB73" s="2" t="s">
        <v>155</v>
      </c>
      <c r="DC73" s="2" t="s">
        <v>278</v>
      </c>
      <c r="DD73" s="2" t="s">
        <v>279</v>
      </c>
      <c r="DE73" s="2" t="s">
        <v>158</v>
      </c>
      <c r="DF73" s="2" t="s">
        <v>159</v>
      </c>
      <c r="DG73" s="2" t="s">
        <v>160</v>
      </c>
      <c r="DH73" s="2">
        <v>0</v>
      </c>
      <c r="DI73" s="2">
        <v>0</v>
      </c>
      <c r="DJ73" s="2">
        <v>0</v>
      </c>
      <c r="DK73" s="2">
        <v>0.3</v>
      </c>
      <c r="DL73" s="2">
        <v>0.6</v>
      </c>
      <c r="DM73" s="2">
        <v>0</v>
      </c>
      <c r="DN73" s="2">
        <f t="shared" si="51"/>
        <v>0.89999999999999991</v>
      </c>
    </row>
    <row r="74" spans="1:126" s="90" customFormat="1" x14ac:dyDescent="0.25">
      <c r="A74" s="25" t="s">
        <v>483</v>
      </c>
      <c r="B74" s="25">
        <v>70</v>
      </c>
      <c r="C74" s="71">
        <v>43538</v>
      </c>
      <c r="D74" s="71">
        <v>43541</v>
      </c>
      <c r="E74" s="7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74" s="25">
        <v>64</v>
      </c>
      <c r="G74" s="25">
        <v>1</v>
      </c>
      <c r="H74" s="72">
        <f>WEEKNUM(tbSabana2016[[#This Row],[Fecha de Inicio]],15)</f>
        <v>11</v>
      </c>
      <c r="I74" s="73" t="str">
        <f>TEXT(tbSabana2016[[#This Row],[Fecha de Inicio]],"dddd")</f>
        <v>jueves</v>
      </c>
      <c r="J74" s="73" t="str">
        <f>TEXT(tbSabana2016[[#This Row],[Fecha de Inicio]],"mmmm")</f>
        <v>marzo</v>
      </c>
      <c r="K74" s="73" t="s">
        <v>143</v>
      </c>
      <c r="L74" s="74">
        <v>23</v>
      </c>
      <c r="M74" s="75" t="s">
        <v>123</v>
      </c>
      <c r="N74" s="75" t="s">
        <v>123</v>
      </c>
      <c r="O74" s="75" t="s">
        <v>487</v>
      </c>
      <c r="P74" s="75"/>
      <c r="Q74" s="72">
        <v>19</v>
      </c>
      <c r="R74" s="103">
        <v>4</v>
      </c>
      <c r="S74" s="106">
        <v>41.42</v>
      </c>
      <c r="T74" s="103">
        <v>99</v>
      </c>
      <c r="U74" s="103">
        <v>2</v>
      </c>
      <c r="V74" s="106">
        <v>22.68</v>
      </c>
      <c r="W74" s="76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41.42'' W 99° 02' 22.68''</v>
      </c>
      <c r="X74" s="77">
        <v>3238</v>
      </c>
      <c r="Y74" s="78">
        <v>0</v>
      </c>
      <c r="Z74" s="78">
        <v>9.34</v>
      </c>
      <c r="AA74" s="78">
        <v>30</v>
      </c>
      <c r="AB74" s="78">
        <v>30</v>
      </c>
      <c r="AC74" s="78">
        <v>0</v>
      </c>
      <c r="AD74" s="78">
        <v>0</v>
      </c>
      <c r="AE74" s="78">
        <f>SUM(tbSabana2016[[#This Row],[Arbolado Adulto (HA)]:[Suelo Orgánico (HA)]])</f>
        <v>69.34</v>
      </c>
      <c r="AF74" s="76">
        <f t="shared" si="38"/>
        <v>487.32999999999981</v>
      </c>
      <c r="AG74" s="76">
        <f>tbSabana2016[[#This Row],[Acumulado (HA)]]/tbSabana2016[[#This Row],[Incendio en el AÑO]]</f>
        <v>6.9618571428571405</v>
      </c>
      <c r="AH74" s="25" t="s">
        <v>147</v>
      </c>
      <c r="AI74" s="25" t="s">
        <v>165</v>
      </c>
      <c r="AJ74" s="25" t="s">
        <v>139</v>
      </c>
      <c r="AK74" s="25" t="s">
        <v>166</v>
      </c>
      <c r="AL74" s="25" t="s">
        <v>150</v>
      </c>
      <c r="AM74" s="25" t="s">
        <v>151</v>
      </c>
      <c r="AN74" s="79">
        <v>43538.843055555553</v>
      </c>
      <c r="AO74" s="79">
        <v>43541.340277777781</v>
      </c>
      <c r="AP74" s="79">
        <v>43541.34375</v>
      </c>
      <c r="AQ74" s="79">
        <v>43541.5</v>
      </c>
      <c r="AR74" s="79">
        <v>43541.503472222219</v>
      </c>
      <c r="AS74" s="79"/>
      <c r="AT74" s="79">
        <v>43541.791666666664</v>
      </c>
      <c r="AU74" s="79">
        <v>43541.868055555555</v>
      </c>
      <c r="AV74" s="79">
        <v>43542</v>
      </c>
      <c r="AW74" s="80">
        <v>3.0249999999999999</v>
      </c>
      <c r="AX74" s="80">
        <v>2.4972222222222222</v>
      </c>
      <c r="AY74" s="81">
        <v>0.15972222222222224</v>
      </c>
      <c r="AZ74" s="80">
        <f>SUM(tbSabana2016[[#This Row],[Duración]])</f>
        <v>3.0249999999999999</v>
      </c>
      <c r="BA74" s="25">
        <v>2</v>
      </c>
      <c r="BB74" s="25">
        <v>2.5</v>
      </c>
      <c r="BC74" s="25">
        <v>0</v>
      </c>
      <c r="BD74" s="25">
        <v>0</v>
      </c>
      <c r="BE74" s="25">
        <v>1</v>
      </c>
      <c r="BF74" s="25">
        <v>0</v>
      </c>
      <c r="BG74" s="25">
        <v>0.8</v>
      </c>
      <c r="BH74" s="25">
        <v>4</v>
      </c>
      <c r="BI74" s="25">
        <v>0</v>
      </c>
      <c r="BJ74" s="25" t="s">
        <v>176</v>
      </c>
      <c r="BK74" s="25">
        <v>1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 t="s">
        <v>488</v>
      </c>
      <c r="BT74" s="25">
        <v>9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0</v>
      </c>
      <c r="CG74" s="25">
        <v>0</v>
      </c>
      <c r="CH74" s="25">
        <v>0</v>
      </c>
      <c r="CI74" s="25">
        <v>7</v>
      </c>
      <c r="CJ74" s="25">
        <v>0</v>
      </c>
      <c r="CK74" s="25">
        <v>0</v>
      </c>
      <c r="CL74" s="25">
        <v>0</v>
      </c>
      <c r="CM74" s="25">
        <v>0</v>
      </c>
      <c r="CN74" s="74">
        <f t="shared" si="48"/>
        <v>16</v>
      </c>
      <c r="CO74" s="82">
        <f t="shared" si="40"/>
        <v>868</v>
      </c>
      <c r="CP74" s="82">
        <f t="shared" si="49"/>
        <v>16</v>
      </c>
      <c r="CQ74" s="83">
        <f>SUM(tbSabana2016[[#This Row],[Voluntarios]])</f>
        <v>0</v>
      </c>
      <c r="CR74" s="84">
        <f>tbSabana2016[[#This Row],[CONAFOR (Oficiales)]]*383</f>
        <v>3447</v>
      </c>
      <c r="CS74" s="84">
        <f>(tbSabana2016[[#This Row],[Total (Oficiales)]]-tbSabana2016[[#This Row],[CONAFOR (Oficiales)]])*217</f>
        <v>1519</v>
      </c>
      <c r="CT74" s="84">
        <f>SUM(tbSabana2016[[#This Row],[Costo CONAFOR]:[Costo Otros]])</f>
        <v>4966</v>
      </c>
      <c r="CU74" s="84">
        <v>1080</v>
      </c>
      <c r="CV74" s="84">
        <f t="shared" si="50"/>
        <v>6046</v>
      </c>
      <c r="CW74" s="25" t="s">
        <v>154</v>
      </c>
      <c r="CX74" s="25" t="s">
        <v>154</v>
      </c>
      <c r="CY74" s="85" t="s">
        <v>154</v>
      </c>
      <c r="CZ74" s="25" t="s">
        <v>154</v>
      </c>
      <c r="DA74" s="25" t="s">
        <v>172</v>
      </c>
      <c r="DB74" s="25" t="s">
        <v>155</v>
      </c>
      <c r="DC74" s="25" t="s">
        <v>156</v>
      </c>
      <c r="DD74" s="25" t="s">
        <v>157</v>
      </c>
      <c r="DE74" s="25" t="s">
        <v>158</v>
      </c>
      <c r="DF74" s="25" t="s">
        <v>159</v>
      </c>
      <c r="DG74" s="25" t="s">
        <v>160</v>
      </c>
      <c r="DH74" s="25">
        <v>0</v>
      </c>
      <c r="DI74" s="25">
        <v>3.75</v>
      </c>
      <c r="DJ74" s="25">
        <v>20</v>
      </c>
      <c r="DK74" s="25">
        <v>20</v>
      </c>
      <c r="DL74" s="25">
        <v>0</v>
      </c>
      <c r="DM74" s="25">
        <v>0</v>
      </c>
      <c r="DN74" s="25">
        <f t="shared" si="51"/>
        <v>43.75</v>
      </c>
      <c r="DO74" s="89"/>
      <c r="DP74" s="25"/>
      <c r="DQ74" s="25"/>
      <c r="DR74" s="25"/>
      <c r="DS74" s="25"/>
      <c r="DT74" s="25"/>
      <c r="DU74" s="25"/>
      <c r="DV74" s="25"/>
    </row>
    <row r="75" spans="1:126" x14ac:dyDescent="0.25">
      <c r="A75" s="2" t="s">
        <v>484</v>
      </c>
      <c r="B75" s="25">
        <v>71</v>
      </c>
      <c r="C75" s="35">
        <v>43541</v>
      </c>
      <c r="D75" s="35">
        <v>43541</v>
      </c>
      <c r="E7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5" s="2">
        <v>65</v>
      </c>
      <c r="G75" s="2">
        <v>1</v>
      </c>
      <c r="H75" s="47">
        <f>WEEKNUM(tbSabana2016[[#This Row],[Fecha de Inicio]],15)</f>
        <v>12</v>
      </c>
      <c r="I75" s="36" t="str">
        <f>TEXT(tbSabana2016[[#This Row],[Fecha de Inicio]],"dddd")</f>
        <v>domingo</v>
      </c>
      <c r="J75" s="36" t="str">
        <f>TEXT(tbSabana2016[[#This Row],[Fecha de Inicio]],"mmmm")</f>
        <v>marzo</v>
      </c>
      <c r="K75" s="37" t="s">
        <v>143</v>
      </c>
      <c r="L75" s="23">
        <v>7</v>
      </c>
      <c r="M75" s="38" t="s">
        <v>405</v>
      </c>
      <c r="N75" s="38" t="s">
        <v>406</v>
      </c>
      <c r="O75" s="38" t="s">
        <v>432</v>
      </c>
      <c r="P75" s="38" t="s">
        <v>249</v>
      </c>
      <c r="Q75" s="47">
        <v>18</v>
      </c>
      <c r="R75" s="102">
        <v>59</v>
      </c>
      <c r="S75" s="105">
        <v>7.4</v>
      </c>
      <c r="T75" s="102">
        <v>99</v>
      </c>
      <c r="U75" s="102">
        <v>11</v>
      </c>
      <c r="V75" s="105">
        <v>26.1</v>
      </c>
      <c r="W7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07.40'' W 99° 11' 26.10''</v>
      </c>
      <c r="X75" s="44">
        <v>1871</v>
      </c>
      <c r="Y75" s="19">
        <v>0</v>
      </c>
      <c r="Z75" s="19">
        <v>0</v>
      </c>
      <c r="AA75" s="19">
        <v>0.4</v>
      </c>
      <c r="AB75" s="19">
        <v>0.5</v>
      </c>
      <c r="AC75" s="19">
        <v>0</v>
      </c>
      <c r="AD75" s="19">
        <v>0</v>
      </c>
      <c r="AE75" s="19">
        <f>SUM(tbSabana2016[[#This Row],[Arbolado Adulto (HA)]:[Suelo Orgánico (HA)]])</f>
        <v>0.9</v>
      </c>
      <c r="AF75" s="9">
        <f t="shared" si="38"/>
        <v>488.22999999999979</v>
      </c>
      <c r="AG75" s="9">
        <f>tbSabana2016[[#This Row],[Acumulado (HA)]]/tbSabana2016[[#This Row],[Incendio en el AÑO]]</f>
        <v>6.8764788732394333</v>
      </c>
      <c r="AH75" s="2" t="s">
        <v>147</v>
      </c>
      <c r="AI75" s="2" t="s">
        <v>165</v>
      </c>
      <c r="AJ75" s="2" t="s">
        <v>134</v>
      </c>
      <c r="AK75" s="2" t="s">
        <v>200</v>
      </c>
      <c r="AL75" s="2" t="s">
        <v>150</v>
      </c>
      <c r="AM75" s="2" t="s">
        <v>151</v>
      </c>
      <c r="AN75" s="32">
        <v>43541.618055555555</v>
      </c>
      <c r="AO75" s="32">
        <v>43541.621527777781</v>
      </c>
      <c r="AP75" s="32">
        <v>43541.625</v>
      </c>
      <c r="AQ75" s="32">
        <v>43541.670138888891</v>
      </c>
      <c r="AR75" s="32">
        <v>43541.673611111109</v>
      </c>
      <c r="AS75" s="32"/>
      <c r="AT75" s="32">
        <v>43541.708333333336</v>
      </c>
      <c r="AU75" s="32">
        <v>43541.71875</v>
      </c>
      <c r="AV75" s="32">
        <v>43541.770833333336</v>
      </c>
      <c r="AW75" s="40">
        <v>0.10069444444444443</v>
      </c>
      <c r="AX75" s="39">
        <v>3.472222222222222E-3</v>
      </c>
      <c r="AY75" s="39">
        <v>4.8611111111111112E-2</v>
      </c>
      <c r="AZ75" s="40">
        <f>SUM(tbSabana2016[[#This Row],[Duración]])</f>
        <v>0.10069444444444443</v>
      </c>
      <c r="BA75" s="2">
        <v>0.01</v>
      </c>
      <c r="BB75" s="2">
        <v>0.4</v>
      </c>
      <c r="BC75" s="2">
        <v>0</v>
      </c>
      <c r="BD75" s="2">
        <v>0</v>
      </c>
      <c r="BE75" s="2">
        <v>0.3</v>
      </c>
      <c r="BF75" s="2">
        <v>0</v>
      </c>
      <c r="BG75" s="2">
        <v>0.3</v>
      </c>
      <c r="BH75" s="2">
        <v>0.4</v>
      </c>
      <c r="BI75" s="2">
        <v>0</v>
      </c>
      <c r="BJ75" s="2" t="s">
        <v>181</v>
      </c>
      <c r="BK75" s="2">
        <v>0</v>
      </c>
      <c r="BL75" s="2">
        <v>1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 t="s">
        <v>486</v>
      </c>
      <c r="BT75" s="2">
        <v>8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3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3">
        <f t="shared" si="48"/>
        <v>11</v>
      </c>
      <c r="CO75" s="10">
        <f t="shared" si="40"/>
        <v>879</v>
      </c>
      <c r="CP75" s="10">
        <f t="shared" si="49"/>
        <v>11</v>
      </c>
      <c r="CQ75" s="24">
        <f>SUM(tbSabana2016[[#This Row],[Voluntarios]])</f>
        <v>0</v>
      </c>
      <c r="CR75" s="8">
        <f>tbSabana2016[[#This Row],[CONAFOR (Oficiales)]]*383</f>
        <v>3064</v>
      </c>
      <c r="CS75" s="8">
        <f>(tbSabana2016[[#This Row],[Total (Oficiales)]]-tbSabana2016[[#This Row],[CONAFOR (Oficiales)]])*217</f>
        <v>651</v>
      </c>
      <c r="CT75" s="8">
        <f>SUM(tbSabana2016[[#This Row],[Costo CONAFOR]:[Costo Otros]])</f>
        <v>3715</v>
      </c>
      <c r="CU75" s="8">
        <v>228</v>
      </c>
      <c r="CV75" s="8">
        <f t="shared" si="50"/>
        <v>3943</v>
      </c>
      <c r="CW75" s="2" t="s">
        <v>154</v>
      </c>
      <c r="CX75" s="2" t="s">
        <v>154</v>
      </c>
      <c r="CY75" s="69" t="s">
        <v>154</v>
      </c>
      <c r="CZ75" s="2" t="s">
        <v>154</v>
      </c>
      <c r="DA75" s="2" t="s">
        <v>172</v>
      </c>
      <c r="DB75" s="2" t="s">
        <v>155</v>
      </c>
      <c r="DC75" s="2" t="s">
        <v>468</v>
      </c>
      <c r="DD75" s="2" t="s">
        <v>311</v>
      </c>
      <c r="DE75" s="2" t="s">
        <v>158</v>
      </c>
      <c r="DF75" s="2" t="s">
        <v>159</v>
      </c>
      <c r="DG75" s="2" t="s">
        <v>160</v>
      </c>
      <c r="DH75" s="2">
        <v>0</v>
      </c>
      <c r="DI75" s="2">
        <v>0</v>
      </c>
      <c r="DJ75" s="2">
        <v>0.4</v>
      </c>
      <c r="DK75" s="2">
        <v>0.5</v>
      </c>
      <c r="DL75" s="2">
        <v>0</v>
      </c>
      <c r="DM75" s="2">
        <v>0</v>
      </c>
      <c r="DN75" s="2">
        <f t="shared" si="51"/>
        <v>0.9</v>
      </c>
    </row>
    <row r="76" spans="1:126" x14ac:dyDescent="0.25">
      <c r="A76" s="2" t="s">
        <v>489</v>
      </c>
      <c r="B76" s="25">
        <v>72</v>
      </c>
      <c r="C76" s="35">
        <v>43542</v>
      </c>
      <c r="D76" s="35">
        <v>43542</v>
      </c>
      <c r="E7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6" s="2">
        <v>66</v>
      </c>
      <c r="G76" s="2">
        <v>1</v>
      </c>
      <c r="H76" s="47">
        <f>WEEKNUM(tbSabana2016[[#This Row],[Fecha de Inicio]],15)</f>
        <v>12</v>
      </c>
      <c r="I76" s="36" t="str">
        <f>TEXT(tbSabana2016[[#This Row],[Fecha de Inicio]],"dddd")</f>
        <v>lunes</v>
      </c>
      <c r="J76" s="36" t="str">
        <f>TEXT(tbSabana2016[[#This Row],[Fecha de Inicio]],"mmmm")</f>
        <v>marzo</v>
      </c>
      <c r="K76" s="37" t="s">
        <v>143</v>
      </c>
      <c r="L76" s="23">
        <v>20</v>
      </c>
      <c r="M76" s="38" t="s">
        <v>162</v>
      </c>
      <c r="N76" s="38" t="s">
        <v>163</v>
      </c>
      <c r="O76" s="38" t="s">
        <v>490</v>
      </c>
      <c r="P76" s="38"/>
      <c r="Q76" s="47">
        <v>18</v>
      </c>
      <c r="R76" s="102">
        <v>58</v>
      </c>
      <c r="S76" s="105">
        <v>59.73</v>
      </c>
      <c r="T76" s="102">
        <v>99</v>
      </c>
      <c r="U76" s="102">
        <v>9</v>
      </c>
      <c r="V76" s="105">
        <v>2.0099999999999998</v>
      </c>
      <c r="W7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59.73'' W 99° 09' 02.01''</v>
      </c>
      <c r="X76" s="44">
        <v>1748</v>
      </c>
      <c r="Y76" s="19">
        <v>0</v>
      </c>
      <c r="Z76" s="19">
        <v>0</v>
      </c>
      <c r="AA76" s="19">
        <v>0</v>
      </c>
      <c r="AB76" s="19">
        <v>0.76</v>
      </c>
      <c r="AC76" s="19">
        <v>2</v>
      </c>
      <c r="AD76" s="19">
        <v>0</v>
      </c>
      <c r="AE76" s="19">
        <f>SUM(tbSabana2016[[#This Row],[Arbolado Adulto (HA)]:[Suelo Orgánico (HA)]])</f>
        <v>2.76</v>
      </c>
      <c r="AF76" s="9">
        <f t="shared" si="38"/>
        <v>490.98999999999978</v>
      </c>
      <c r="AG76" s="9">
        <f>tbSabana2016[[#This Row],[Acumulado (HA)]]/tbSabana2016[[#This Row],[Incendio en el AÑO]]</f>
        <v>6.8193055555555526</v>
      </c>
      <c r="AH76" s="2" t="s">
        <v>147</v>
      </c>
      <c r="AI76" s="2" t="s">
        <v>165</v>
      </c>
      <c r="AJ76" s="2" t="s">
        <v>134</v>
      </c>
      <c r="AK76" s="2" t="s">
        <v>200</v>
      </c>
      <c r="AL76" s="2" t="s">
        <v>150</v>
      </c>
      <c r="AM76" s="2" t="s">
        <v>151</v>
      </c>
      <c r="AN76" s="32">
        <v>43542.520833333336</v>
      </c>
      <c r="AO76" s="32">
        <v>43542.524305555555</v>
      </c>
      <c r="AP76" s="32">
        <v>43542.527777777781</v>
      </c>
      <c r="AQ76" s="32">
        <v>43542.569444444445</v>
      </c>
      <c r="AR76" s="32">
        <v>43542.572916666664</v>
      </c>
      <c r="AS76" s="32"/>
      <c r="AT76" s="32">
        <v>43542.708333333336</v>
      </c>
      <c r="AU76" s="32">
        <v>43542.75</v>
      </c>
      <c r="AV76" s="32">
        <v>43542.791666666664</v>
      </c>
      <c r="AW76" s="40">
        <v>0.22916666666666666</v>
      </c>
      <c r="AX76" s="39">
        <v>3.472222222222222E-3</v>
      </c>
      <c r="AY76" s="39">
        <v>4.5138888888888888E-2</v>
      </c>
      <c r="AZ76" s="40">
        <f>SUM(tbSabana2016[[#This Row],[Duración]])</f>
        <v>0.22916666666666666</v>
      </c>
      <c r="BA76" s="2">
        <v>0.2</v>
      </c>
      <c r="BB76" s="2">
        <v>0.3</v>
      </c>
      <c r="BC76" s="2">
        <v>0</v>
      </c>
      <c r="BD76" s="2">
        <v>0</v>
      </c>
      <c r="BE76" s="2">
        <v>0.3</v>
      </c>
      <c r="BF76" s="2">
        <v>0</v>
      </c>
      <c r="BG76" s="2">
        <v>0</v>
      </c>
      <c r="BH76" s="2">
        <v>0</v>
      </c>
      <c r="BI76" s="2">
        <v>0</v>
      </c>
      <c r="BJ76" s="2" t="s">
        <v>206</v>
      </c>
      <c r="BK76" s="2">
        <v>0</v>
      </c>
      <c r="BL76" s="2">
        <v>0</v>
      </c>
      <c r="BM76" s="2">
        <v>1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 t="s">
        <v>252</v>
      </c>
      <c r="BT76" s="2">
        <v>9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8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3">
        <f t="shared" ref="CN76:CN81" si="52">SUM(BT76:CM76)</f>
        <v>17</v>
      </c>
      <c r="CO76" s="10">
        <f t="shared" si="40"/>
        <v>896</v>
      </c>
      <c r="CP76" s="10">
        <f t="shared" ref="CP76:CP81" si="53">SUM(BT76:CG76,CI76:CM76)</f>
        <v>17</v>
      </c>
      <c r="CQ76" s="24">
        <f>SUM(tbSabana2016[[#This Row],[Voluntarios]])</f>
        <v>0</v>
      </c>
      <c r="CR76" s="8">
        <f>tbSabana2016[[#This Row],[CONAFOR (Oficiales)]]*383</f>
        <v>3447</v>
      </c>
      <c r="CS76" s="8">
        <f>(tbSabana2016[[#This Row],[Total (Oficiales)]]-tbSabana2016[[#This Row],[CONAFOR (Oficiales)]])*217</f>
        <v>1736</v>
      </c>
      <c r="CT76" s="8">
        <f>SUM(tbSabana2016[[#This Row],[Costo CONAFOR]:[Costo Otros]])</f>
        <v>5183</v>
      </c>
      <c r="CU76" s="8">
        <v>247</v>
      </c>
      <c r="CV76" s="8">
        <f t="shared" ref="CV76:CV81" si="54">SUM(CT76:CU76)</f>
        <v>5430</v>
      </c>
      <c r="CW76" s="2" t="s">
        <v>154</v>
      </c>
      <c r="CX76" s="2" t="s">
        <v>154</v>
      </c>
      <c r="CY76" s="69" t="s">
        <v>154</v>
      </c>
      <c r="CZ76" s="2" t="s">
        <v>154</v>
      </c>
      <c r="DA76" s="2" t="s">
        <v>172</v>
      </c>
      <c r="DB76" s="2" t="s">
        <v>155</v>
      </c>
      <c r="DC76" s="2" t="s">
        <v>491</v>
      </c>
      <c r="DD76" s="2" t="s">
        <v>492</v>
      </c>
      <c r="DE76" s="2" t="s">
        <v>170</v>
      </c>
      <c r="DF76" s="2" t="s">
        <v>159</v>
      </c>
      <c r="DG76" s="2" t="s">
        <v>475</v>
      </c>
      <c r="DH76" s="2">
        <v>0</v>
      </c>
      <c r="DI76" s="2">
        <v>0</v>
      </c>
      <c r="DJ76" s="2">
        <v>0</v>
      </c>
      <c r="DK76" s="2">
        <v>0.76</v>
      </c>
      <c r="DL76" s="2">
        <v>2</v>
      </c>
      <c r="DM76" s="2">
        <v>0</v>
      </c>
      <c r="DN76" s="2">
        <f t="shared" ref="DN76:DN81" si="55">SUM(DH76:DM76)</f>
        <v>2.76</v>
      </c>
    </row>
    <row r="77" spans="1:126" x14ac:dyDescent="0.25">
      <c r="A77" s="2" t="s">
        <v>493</v>
      </c>
      <c r="B77" s="25">
        <v>73</v>
      </c>
      <c r="C77" s="35">
        <v>43543</v>
      </c>
      <c r="D77" s="35">
        <v>43543</v>
      </c>
      <c r="E7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7" s="2">
        <v>67</v>
      </c>
      <c r="G77" s="2">
        <v>1</v>
      </c>
      <c r="H77" s="47">
        <f>WEEKNUM(tbSabana2016[[#This Row],[Fecha de Inicio]],15)</f>
        <v>12</v>
      </c>
      <c r="I77" s="36" t="str">
        <f>TEXT(tbSabana2016[[#This Row],[Fecha de Inicio]],"dddd")</f>
        <v>martes</v>
      </c>
      <c r="J77" s="36" t="str">
        <f>TEXT(tbSabana2016[[#This Row],[Fecha de Inicio]],"mmmm")</f>
        <v>marzo</v>
      </c>
      <c r="K77" s="37" t="s">
        <v>143</v>
      </c>
      <c r="L77" s="23">
        <v>20</v>
      </c>
      <c r="M77" s="38" t="s">
        <v>162</v>
      </c>
      <c r="N77" s="38" t="s">
        <v>163</v>
      </c>
      <c r="O77" s="38" t="s">
        <v>494</v>
      </c>
      <c r="P77" s="38" t="s">
        <v>174</v>
      </c>
      <c r="Q77" s="47">
        <v>18</v>
      </c>
      <c r="R77" s="102">
        <v>58</v>
      </c>
      <c r="S77" s="105">
        <v>14.81</v>
      </c>
      <c r="T77" s="102">
        <v>99</v>
      </c>
      <c r="U77" s="102">
        <v>10</v>
      </c>
      <c r="V77" s="105">
        <v>28.68</v>
      </c>
      <c r="W7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14.81'' W 99° 10' 28.68''</v>
      </c>
      <c r="X77" s="44">
        <v>1686</v>
      </c>
      <c r="Y77" s="19">
        <v>0</v>
      </c>
      <c r="Z77" s="19">
        <v>0</v>
      </c>
      <c r="AA77" s="19">
        <v>2.27</v>
      </c>
      <c r="AB77" s="19">
        <v>3</v>
      </c>
      <c r="AC77" s="19">
        <v>0</v>
      </c>
      <c r="AD77" s="19">
        <v>0</v>
      </c>
      <c r="AE77" s="19">
        <f>SUM(tbSabana2016[[#This Row],[Arbolado Adulto (HA)]:[Suelo Orgánico (HA)]])</f>
        <v>5.27</v>
      </c>
      <c r="AF77" s="9">
        <f t="shared" ref="AF77:AF82" si="56">SUM(AF76,AE77)</f>
        <v>496.25999999999976</v>
      </c>
      <c r="AG77" s="9">
        <f>tbSabana2016[[#This Row],[Acumulado (HA)]]/tbSabana2016[[#This Row],[Incendio en el AÑO]]</f>
        <v>6.7980821917808187</v>
      </c>
      <c r="AH77" s="2" t="s">
        <v>147</v>
      </c>
      <c r="AI77" s="2" t="s">
        <v>165</v>
      </c>
      <c r="AJ77" s="2" t="s">
        <v>135</v>
      </c>
      <c r="AK77" s="2" t="s">
        <v>175</v>
      </c>
      <c r="AL77" s="2" t="s">
        <v>150</v>
      </c>
      <c r="AM77" s="2" t="s">
        <v>151</v>
      </c>
      <c r="AN77" s="32">
        <v>43543.5</v>
      </c>
      <c r="AO77" s="32">
        <v>43543.503472222219</v>
      </c>
      <c r="AP77" s="32">
        <v>43543.506944444445</v>
      </c>
      <c r="AQ77" s="32">
        <v>43543.552083333336</v>
      </c>
      <c r="AR77" s="32">
        <v>43543.555555555555</v>
      </c>
      <c r="AS77" s="32"/>
      <c r="AT77" s="32">
        <v>43543.645833333336</v>
      </c>
      <c r="AU77" s="32">
        <v>43543.704861111109</v>
      </c>
      <c r="AV77" s="32">
        <v>43543.791666666664</v>
      </c>
      <c r="AW77" s="40">
        <v>0.20486111111111113</v>
      </c>
      <c r="AX77" s="39">
        <v>3.472222222222222E-3</v>
      </c>
      <c r="AY77" s="39">
        <v>4.8611111111111112E-2</v>
      </c>
      <c r="AZ77" s="40">
        <f>SUM(tbSabana2016[[#This Row],[Duración]])</f>
        <v>0.20486111111111113</v>
      </c>
      <c r="BA77" s="2">
        <v>0.2</v>
      </c>
      <c r="BB77" s="2">
        <v>0.8</v>
      </c>
      <c r="BC77" s="2">
        <v>0</v>
      </c>
      <c r="BD77" s="2">
        <v>0</v>
      </c>
      <c r="BE77" s="2">
        <v>0.8</v>
      </c>
      <c r="BF77" s="2">
        <v>0</v>
      </c>
      <c r="BG77" s="2">
        <v>0.3</v>
      </c>
      <c r="BH77" s="2">
        <v>0.9</v>
      </c>
      <c r="BI77" s="2">
        <v>0</v>
      </c>
      <c r="BJ77" s="2" t="s">
        <v>176</v>
      </c>
      <c r="BK77" s="2">
        <v>1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T77" s="2">
        <v>9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3">
        <f t="shared" si="52"/>
        <v>9</v>
      </c>
      <c r="CO77" s="10">
        <f t="shared" si="40"/>
        <v>905</v>
      </c>
      <c r="CP77" s="10">
        <f t="shared" si="53"/>
        <v>9</v>
      </c>
      <c r="CQ77" s="24">
        <f>SUM(tbSabana2016[[#This Row],[Voluntarios]])</f>
        <v>0</v>
      </c>
      <c r="CR77" s="8">
        <f>tbSabana2016[[#This Row],[CONAFOR (Oficiales)]]*383</f>
        <v>3447</v>
      </c>
      <c r="CS77" s="8">
        <f>(tbSabana2016[[#This Row],[Total (Oficiales)]]-tbSabana2016[[#This Row],[CONAFOR (Oficiales)]])*217</f>
        <v>0</v>
      </c>
      <c r="CT77" s="8">
        <f>SUM(tbSabana2016[[#This Row],[Costo CONAFOR]:[Costo Otros]])</f>
        <v>3447</v>
      </c>
      <c r="CU77" s="8">
        <v>209</v>
      </c>
      <c r="CV77" s="8">
        <f t="shared" si="54"/>
        <v>3656</v>
      </c>
      <c r="CW77" s="2" t="s">
        <v>154</v>
      </c>
      <c r="CX77" s="2" t="s">
        <v>154</v>
      </c>
      <c r="CY77" s="69" t="s">
        <v>154</v>
      </c>
      <c r="CZ77" s="2" t="s">
        <v>154</v>
      </c>
      <c r="DA77" s="2" t="s">
        <v>172</v>
      </c>
      <c r="DB77" s="2" t="s">
        <v>155</v>
      </c>
      <c r="DC77" s="2" t="s">
        <v>168</v>
      </c>
      <c r="DD77" s="2" t="s">
        <v>169</v>
      </c>
      <c r="DE77" s="2" t="s">
        <v>170</v>
      </c>
      <c r="DF77" s="2" t="s">
        <v>159</v>
      </c>
      <c r="DG77" s="2" t="s">
        <v>475</v>
      </c>
      <c r="DH77" s="2">
        <v>0</v>
      </c>
      <c r="DI77" s="2">
        <v>0</v>
      </c>
      <c r="DJ77" s="2">
        <v>2.27</v>
      </c>
      <c r="DK77" s="2">
        <v>3</v>
      </c>
      <c r="DL77" s="2">
        <v>0</v>
      </c>
      <c r="DM77" s="2">
        <v>0</v>
      </c>
      <c r="DN77" s="2">
        <f t="shared" si="55"/>
        <v>5.27</v>
      </c>
    </row>
    <row r="78" spans="1:126" x14ac:dyDescent="0.25">
      <c r="A78" s="2" t="s">
        <v>495</v>
      </c>
      <c r="B78" s="25">
        <v>74</v>
      </c>
      <c r="C78" s="35">
        <v>43544</v>
      </c>
      <c r="D78" s="35">
        <v>43544</v>
      </c>
      <c r="E7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8" s="2">
        <v>68</v>
      </c>
      <c r="G78" s="2">
        <v>1</v>
      </c>
      <c r="H78" s="47">
        <f>WEEKNUM(tbSabana2016[[#This Row],[Fecha de Inicio]],15)</f>
        <v>12</v>
      </c>
      <c r="I78" s="36" t="str">
        <f>TEXT(tbSabana2016[[#This Row],[Fecha de Inicio]],"dddd")</f>
        <v>miércoles</v>
      </c>
      <c r="J78" s="36" t="str">
        <f>TEXT(tbSabana2016[[#This Row],[Fecha de Inicio]],"mmmm")</f>
        <v>marzo</v>
      </c>
      <c r="K78" s="37" t="s">
        <v>143</v>
      </c>
      <c r="L78" s="23">
        <v>9</v>
      </c>
      <c r="M78" s="38" t="s">
        <v>144</v>
      </c>
      <c r="N78" s="38" t="s">
        <v>144</v>
      </c>
      <c r="O78" s="38" t="s">
        <v>496</v>
      </c>
      <c r="P78" s="38"/>
      <c r="Q78" s="47">
        <v>19</v>
      </c>
      <c r="R78" s="102">
        <v>2</v>
      </c>
      <c r="S78" s="105">
        <v>34.729999999999997</v>
      </c>
      <c r="T78" s="102">
        <v>99</v>
      </c>
      <c r="U78" s="102">
        <v>18</v>
      </c>
      <c r="V78" s="105">
        <v>30.51</v>
      </c>
      <c r="W7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34.73'' W 99° 18' 30.51''</v>
      </c>
      <c r="X78" s="44">
        <v>2874</v>
      </c>
      <c r="Y78" s="19">
        <v>0</v>
      </c>
      <c r="Z78" s="19">
        <v>0</v>
      </c>
      <c r="AA78" s="19">
        <v>0.8</v>
      </c>
      <c r="AB78" s="19">
        <v>0.52</v>
      </c>
      <c r="AC78" s="19">
        <v>0</v>
      </c>
      <c r="AD78" s="19">
        <v>0</v>
      </c>
      <c r="AE78" s="19">
        <f>SUM(tbSabana2016[[#This Row],[Arbolado Adulto (HA)]:[Suelo Orgánico (HA)]])</f>
        <v>1.32</v>
      </c>
      <c r="AF78" s="9">
        <f t="shared" si="56"/>
        <v>497.57999999999976</v>
      </c>
      <c r="AG78" s="9">
        <f>tbSabana2016[[#This Row],[Acumulado (HA)]]/tbSabana2016[[#This Row],[Incendio en el AÑO]]</f>
        <v>6.7240540540540508</v>
      </c>
      <c r="AH78" s="2" t="s">
        <v>147</v>
      </c>
      <c r="AI78" s="2" t="s">
        <v>497</v>
      </c>
      <c r="AJ78" s="2" t="s">
        <v>134</v>
      </c>
      <c r="AK78" s="2" t="s">
        <v>183</v>
      </c>
      <c r="AL78" s="2" t="s">
        <v>150</v>
      </c>
      <c r="AM78" s="2" t="s">
        <v>205</v>
      </c>
      <c r="AN78" s="32">
        <v>43544.65625</v>
      </c>
      <c r="AO78" s="32">
        <v>43544.659722222219</v>
      </c>
      <c r="AP78" s="32">
        <v>43544.665277777778</v>
      </c>
      <c r="AQ78" s="32">
        <v>43544.679166666669</v>
      </c>
      <c r="AR78" s="32">
        <v>43544.680555555555</v>
      </c>
      <c r="AS78" s="32"/>
      <c r="AT78" s="32">
        <v>43544.729166666664</v>
      </c>
      <c r="AU78" s="32">
        <v>43544.75</v>
      </c>
      <c r="AV78" s="32">
        <v>43544.763888888891</v>
      </c>
      <c r="AW78" s="40">
        <v>9.375E-2</v>
      </c>
      <c r="AX78" s="39">
        <v>3.472222222222222E-3</v>
      </c>
      <c r="AY78" s="39">
        <v>1.9444444444444445E-2</v>
      </c>
      <c r="AZ78" s="40">
        <f>SUM(tbSabana2016[[#This Row],[Duración]])</f>
        <v>9.375E-2</v>
      </c>
      <c r="BA78" s="2">
        <v>0</v>
      </c>
      <c r="BB78" s="2">
        <v>0.5</v>
      </c>
      <c r="BC78" s="2">
        <v>0</v>
      </c>
      <c r="BD78" s="2">
        <v>0</v>
      </c>
      <c r="BE78" s="2">
        <v>0.3</v>
      </c>
      <c r="BF78" s="2">
        <v>0</v>
      </c>
      <c r="BG78" s="2">
        <v>0</v>
      </c>
      <c r="BH78" s="2">
        <v>0.6</v>
      </c>
      <c r="BI78" s="2">
        <v>0</v>
      </c>
      <c r="BJ78" s="2" t="s">
        <v>602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 t="s">
        <v>498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10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1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3">
        <f t="shared" si="52"/>
        <v>11</v>
      </c>
      <c r="CO78" s="10">
        <f t="shared" si="40"/>
        <v>916</v>
      </c>
      <c r="CP78" s="10">
        <f t="shared" si="53"/>
        <v>11</v>
      </c>
      <c r="CQ78" s="24">
        <f>SUM(tbSabana2016[[#This Row],[Voluntarios]])</f>
        <v>0</v>
      </c>
      <c r="CR78" s="8">
        <f>tbSabana2016[[#This Row],[CONAFOR (Oficiales)]]*383</f>
        <v>0</v>
      </c>
      <c r="CS78" s="8">
        <f>(tbSabana2016[[#This Row],[Total (Oficiales)]]-tbSabana2016[[#This Row],[CONAFOR (Oficiales)]])*217</f>
        <v>2387</v>
      </c>
      <c r="CT78" s="8">
        <f>SUM(tbSabana2016[[#This Row],[Costo CONAFOR]:[Costo Otros]])</f>
        <v>2387</v>
      </c>
      <c r="CU78" s="8">
        <v>95</v>
      </c>
      <c r="CV78" s="8">
        <f t="shared" si="54"/>
        <v>2482</v>
      </c>
      <c r="CW78" s="2" t="s">
        <v>154</v>
      </c>
      <c r="CX78" s="2" t="s">
        <v>154</v>
      </c>
      <c r="CY78" s="69" t="s">
        <v>154</v>
      </c>
      <c r="CZ78" s="2" t="s">
        <v>154</v>
      </c>
      <c r="DA78" s="2" t="s">
        <v>172</v>
      </c>
      <c r="DB78" s="2" t="s">
        <v>155</v>
      </c>
      <c r="DC78" s="2" t="s">
        <v>278</v>
      </c>
      <c r="DD78" s="2" t="s">
        <v>279</v>
      </c>
      <c r="DE78" s="2" t="s">
        <v>499</v>
      </c>
      <c r="DF78" s="2" t="s">
        <v>159</v>
      </c>
      <c r="DG78" s="2" t="s">
        <v>500</v>
      </c>
      <c r="DH78" s="2">
        <v>0</v>
      </c>
      <c r="DI78" s="2">
        <v>0</v>
      </c>
      <c r="DJ78" s="2">
        <v>0.8</v>
      </c>
      <c r="DK78" s="2">
        <v>0.52</v>
      </c>
      <c r="DL78" s="2">
        <v>0</v>
      </c>
      <c r="DM78" s="2">
        <v>0</v>
      </c>
      <c r="DN78" s="2">
        <f t="shared" si="55"/>
        <v>1.32</v>
      </c>
    </row>
    <row r="79" spans="1:126" x14ac:dyDescent="0.25">
      <c r="A79" s="2" t="s">
        <v>501</v>
      </c>
      <c r="B79" s="25">
        <v>75</v>
      </c>
      <c r="C79" s="35">
        <v>43545</v>
      </c>
      <c r="D79" s="35">
        <v>43545</v>
      </c>
      <c r="E7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79" s="2">
        <v>69</v>
      </c>
      <c r="G79" s="2">
        <v>1</v>
      </c>
      <c r="H79" s="47">
        <f>WEEKNUM(tbSabana2016[[#This Row],[Fecha de Inicio]],15)</f>
        <v>12</v>
      </c>
      <c r="I79" s="36" t="str">
        <f>TEXT(tbSabana2016[[#This Row],[Fecha de Inicio]],"dddd")</f>
        <v>jueves</v>
      </c>
      <c r="J79" s="36" t="str">
        <f>TEXT(tbSabana2016[[#This Row],[Fecha de Inicio]],"mmmm")</f>
        <v>marzo</v>
      </c>
      <c r="K79" s="37" t="s">
        <v>143</v>
      </c>
      <c r="L79" s="23">
        <v>29</v>
      </c>
      <c r="M79" s="38" t="s">
        <v>231</v>
      </c>
      <c r="N79" s="38" t="s">
        <v>231</v>
      </c>
      <c r="O79" s="38" t="s">
        <v>502</v>
      </c>
      <c r="P79" s="38" t="s">
        <v>146</v>
      </c>
      <c r="Q79" s="47">
        <v>18</v>
      </c>
      <c r="R79" s="102">
        <v>52</v>
      </c>
      <c r="S79" s="105">
        <v>34.130000000000003</v>
      </c>
      <c r="T79" s="102">
        <v>99</v>
      </c>
      <c r="U79" s="102">
        <v>5</v>
      </c>
      <c r="V79" s="105">
        <v>48.93</v>
      </c>
      <c r="W7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52' 34.13'' W 99° 05' 48.93''</v>
      </c>
      <c r="X79" s="44">
        <v>1395</v>
      </c>
      <c r="Y79" s="19">
        <v>0</v>
      </c>
      <c r="Z79" s="19">
        <v>0</v>
      </c>
      <c r="AA79" s="19">
        <v>2</v>
      </c>
      <c r="AB79" s="19">
        <v>1.1100000000000001</v>
      </c>
      <c r="AC79" s="19">
        <v>0</v>
      </c>
      <c r="AD79" s="19">
        <v>0</v>
      </c>
      <c r="AE79" s="19">
        <f>SUM(tbSabana2016[[#This Row],[Arbolado Adulto (HA)]:[Suelo Orgánico (HA)]])</f>
        <v>3.1100000000000003</v>
      </c>
      <c r="AF79" s="9">
        <f t="shared" si="56"/>
        <v>500.68999999999977</v>
      </c>
      <c r="AG79" s="9">
        <f>tbSabana2016[[#This Row],[Acumulado (HA)]]/tbSabana2016[[#This Row],[Incendio en el AÑO]]</f>
        <v>6.6758666666666633</v>
      </c>
      <c r="AH79" s="2" t="s">
        <v>147</v>
      </c>
      <c r="AI79" s="2" t="s">
        <v>165</v>
      </c>
      <c r="AJ79" s="2" t="s">
        <v>134</v>
      </c>
      <c r="AK79" s="2" t="s">
        <v>200</v>
      </c>
      <c r="AL79" s="2" t="s">
        <v>150</v>
      </c>
      <c r="AM79" s="2" t="s">
        <v>151</v>
      </c>
      <c r="AN79" s="32">
        <v>43545.552083333336</v>
      </c>
      <c r="AO79" s="32">
        <v>43545.555555555555</v>
      </c>
      <c r="AP79" s="32">
        <v>43545.557638888888</v>
      </c>
      <c r="AQ79" s="32">
        <v>43545.60833333333</v>
      </c>
      <c r="AR79" s="32">
        <v>43545.611111111109</v>
      </c>
      <c r="AS79" s="32"/>
      <c r="AT79" s="32">
        <v>43545.75</v>
      </c>
      <c r="AU79" s="32">
        <v>43545.8125</v>
      </c>
      <c r="AV79" s="32">
        <v>43545.854166666664</v>
      </c>
      <c r="AW79" s="40">
        <v>0.26041666666666669</v>
      </c>
      <c r="AX79" s="39">
        <v>3.472222222222222E-3</v>
      </c>
      <c r="AY79" s="39">
        <v>5.2777777777777778E-2</v>
      </c>
      <c r="AZ79" s="40">
        <f>SUM(tbSabana2016[[#This Row],[Duración]])</f>
        <v>0.26041666666666669</v>
      </c>
      <c r="BA79" s="2">
        <v>0.2</v>
      </c>
      <c r="BB79" s="2">
        <v>0.8</v>
      </c>
      <c r="BC79" s="2">
        <v>0</v>
      </c>
      <c r="BD79" s="2">
        <v>0</v>
      </c>
      <c r="BE79" s="2">
        <v>0.3</v>
      </c>
      <c r="BF79" s="2">
        <v>0</v>
      </c>
      <c r="BG79" s="2">
        <v>0</v>
      </c>
      <c r="BH79" s="2">
        <v>0.9</v>
      </c>
      <c r="BI79" s="2">
        <v>0</v>
      </c>
      <c r="BJ79" s="2" t="s">
        <v>179</v>
      </c>
      <c r="BK79" s="2">
        <v>0</v>
      </c>
      <c r="BL79" s="2">
        <v>0</v>
      </c>
      <c r="BM79" s="2">
        <v>0</v>
      </c>
      <c r="BN79" s="2">
        <v>1</v>
      </c>
      <c r="BO79" s="2">
        <v>0</v>
      </c>
      <c r="BP79" s="2">
        <v>0</v>
      </c>
      <c r="BQ79" s="2">
        <v>0</v>
      </c>
      <c r="BR79" s="2">
        <v>0</v>
      </c>
      <c r="BT79" s="2">
        <v>9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3">
        <f t="shared" si="52"/>
        <v>9</v>
      </c>
      <c r="CO79" s="10">
        <f t="shared" si="40"/>
        <v>925</v>
      </c>
      <c r="CP79" s="10">
        <f t="shared" si="53"/>
        <v>9</v>
      </c>
      <c r="CQ79" s="24">
        <f>SUM(tbSabana2016[[#This Row],[Voluntarios]])</f>
        <v>0</v>
      </c>
      <c r="CR79" s="8">
        <f>tbSabana2016[[#This Row],[CONAFOR (Oficiales)]]*383</f>
        <v>3447</v>
      </c>
      <c r="CS79" s="8">
        <f>(tbSabana2016[[#This Row],[Total (Oficiales)]]-tbSabana2016[[#This Row],[CONAFOR (Oficiales)]])*217</f>
        <v>0</v>
      </c>
      <c r="CT79" s="8">
        <f>SUM(tbSabana2016[[#This Row],[Costo CONAFOR]:[Costo Otros]])</f>
        <v>3447</v>
      </c>
      <c r="CU79" s="8">
        <v>380</v>
      </c>
      <c r="CV79" s="8">
        <f t="shared" si="54"/>
        <v>3827</v>
      </c>
      <c r="CW79" s="2" t="s">
        <v>154</v>
      </c>
      <c r="CX79" s="2" t="s">
        <v>154</v>
      </c>
      <c r="CY79" s="69" t="s">
        <v>154</v>
      </c>
      <c r="CZ79" s="2" t="s">
        <v>154</v>
      </c>
      <c r="DA79" s="2" t="s">
        <v>172</v>
      </c>
      <c r="DB79" s="2" t="s">
        <v>155</v>
      </c>
      <c r="DC79" s="2" t="s">
        <v>168</v>
      </c>
      <c r="DD79" s="2" t="s">
        <v>169</v>
      </c>
      <c r="DE79" s="2" t="s">
        <v>267</v>
      </c>
      <c r="DF79" s="2" t="s">
        <v>159</v>
      </c>
      <c r="DG79" s="2" t="s">
        <v>268</v>
      </c>
      <c r="DH79" s="2">
        <v>0</v>
      </c>
      <c r="DI79" s="2">
        <v>0</v>
      </c>
      <c r="DJ79" s="2">
        <v>2</v>
      </c>
      <c r="DK79" s="2">
        <v>1.1100000000000001</v>
      </c>
      <c r="DL79" s="2">
        <v>0</v>
      </c>
      <c r="DM79" s="2">
        <v>0</v>
      </c>
      <c r="DN79" s="2">
        <f t="shared" si="55"/>
        <v>3.1100000000000003</v>
      </c>
    </row>
    <row r="80" spans="1:126" x14ac:dyDescent="0.25">
      <c r="A80" s="2" t="s">
        <v>503</v>
      </c>
      <c r="B80" s="25">
        <v>76</v>
      </c>
      <c r="C80" s="35">
        <v>43546</v>
      </c>
      <c r="D80" s="35">
        <v>43546</v>
      </c>
      <c r="E8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0" s="2">
        <v>70</v>
      </c>
      <c r="G80" s="2">
        <v>1</v>
      </c>
      <c r="H80" s="47">
        <f>WEEKNUM(tbSabana2016[[#This Row],[Fecha de Inicio]],15)</f>
        <v>13</v>
      </c>
      <c r="I80" s="36" t="str">
        <f>TEXT(tbSabana2016[[#This Row],[Fecha de Inicio]],"dddd")</f>
        <v>viernes</v>
      </c>
      <c r="J80" s="36" t="str">
        <f>TEXT(tbSabana2016[[#This Row],[Fecha de Inicio]],"mmmm")</f>
        <v>marzo</v>
      </c>
      <c r="K80" s="37" t="s">
        <v>143</v>
      </c>
      <c r="L80" s="23">
        <v>20</v>
      </c>
      <c r="M80" s="38" t="s">
        <v>162</v>
      </c>
      <c r="N80" s="38" t="s">
        <v>163</v>
      </c>
      <c r="O80" s="38" t="s">
        <v>414</v>
      </c>
      <c r="P80" s="38" t="s">
        <v>182</v>
      </c>
      <c r="Q80" s="47">
        <v>18</v>
      </c>
      <c r="R80" s="102">
        <v>57</v>
      </c>
      <c r="S80" s="105">
        <v>50.35</v>
      </c>
      <c r="T80" s="102">
        <v>99</v>
      </c>
      <c r="U80" s="102">
        <v>10</v>
      </c>
      <c r="V80" s="105">
        <v>20.83</v>
      </c>
      <c r="W8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50.35'' W 99° 10' 20.83''</v>
      </c>
      <c r="X80" s="44">
        <v>1672</v>
      </c>
      <c r="Y80" s="19">
        <v>0</v>
      </c>
      <c r="Z80" s="19">
        <v>0</v>
      </c>
      <c r="AA80" s="19">
        <v>0.73</v>
      </c>
      <c r="AB80" s="19">
        <v>1</v>
      </c>
      <c r="AC80" s="19">
        <v>0</v>
      </c>
      <c r="AD80" s="19">
        <v>0</v>
      </c>
      <c r="AE80" s="19">
        <f>SUM(tbSabana2016[[#This Row],[Arbolado Adulto (HA)]:[Suelo Orgánico (HA)]])</f>
        <v>1.73</v>
      </c>
      <c r="AF80" s="9">
        <f t="shared" si="56"/>
        <v>502.41999999999979</v>
      </c>
      <c r="AG80" s="9">
        <f>tbSabana2016[[#This Row],[Acumulado (HA)]]/tbSabana2016[[#This Row],[Incendio en el AÑO]]</f>
        <v>6.6107894736842079</v>
      </c>
      <c r="AH80" s="2" t="s">
        <v>147</v>
      </c>
      <c r="AI80" s="2" t="s">
        <v>165</v>
      </c>
      <c r="AJ80" s="2" t="s">
        <v>135</v>
      </c>
      <c r="AK80" s="2" t="s">
        <v>175</v>
      </c>
      <c r="AL80" s="2" t="s">
        <v>150</v>
      </c>
      <c r="AM80" s="2" t="s">
        <v>151</v>
      </c>
      <c r="AN80" s="32">
        <v>43546.520833333336</v>
      </c>
      <c r="AO80" s="32">
        <v>43546.524305555555</v>
      </c>
      <c r="AP80" s="32">
        <v>43546.527777777781</v>
      </c>
      <c r="AQ80" s="32">
        <v>43546.5625</v>
      </c>
      <c r="AR80" s="32">
        <v>43546.565972222219</v>
      </c>
      <c r="AS80" s="32"/>
      <c r="AT80" s="32">
        <v>43546.666666666664</v>
      </c>
      <c r="AU80" s="32">
        <v>43546.694444444445</v>
      </c>
      <c r="AV80" s="32">
        <v>43546.729166666664</v>
      </c>
      <c r="AW80" s="40">
        <v>0.17361111111111113</v>
      </c>
      <c r="AX80" s="39">
        <v>3.472222222222222E-3</v>
      </c>
      <c r="AY80" s="39">
        <v>3.8194444444444441E-2</v>
      </c>
      <c r="AZ80" s="40">
        <f>SUM(tbSabana2016[[#This Row],[Duración]])</f>
        <v>0.17361111111111113</v>
      </c>
      <c r="BA80" s="2">
        <v>0.2</v>
      </c>
      <c r="BB80" s="2">
        <v>0</v>
      </c>
      <c r="BC80" s="2">
        <v>0</v>
      </c>
      <c r="BD80" s="2">
        <v>0</v>
      </c>
      <c r="BE80" s="2">
        <v>0.3</v>
      </c>
      <c r="BF80" s="2">
        <v>0</v>
      </c>
      <c r="BG80" s="2">
        <v>0.3</v>
      </c>
      <c r="BH80" s="2">
        <v>0.5</v>
      </c>
      <c r="BI80" s="2">
        <v>0</v>
      </c>
      <c r="BJ80" s="2" t="s">
        <v>181</v>
      </c>
      <c r="BK80" s="2">
        <v>0</v>
      </c>
      <c r="BL80" s="2">
        <v>1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T80" s="2">
        <v>8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3">
        <f t="shared" si="52"/>
        <v>8</v>
      </c>
      <c r="CO80" s="10">
        <f t="shared" si="40"/>
        <v>933</v>
      </c>
      <c r="CP80" s="10">
        <f t="shared" si="53"/>
        <v>8</v>
      </c>
      <c r="CQ80" s="24">
        <f>SUM(tbSabana2016[[#This Row],[Voluntarios]])</f>
        <v>0</v>
      </c>
      <c r="CR80" s="8">
        <f>tbSabana2016[[#This Row],[CONAFOR (Oficiales)]]*383</f>
        <v>3064</v>
      </c>
      <c r="CS80" s="8">
        <f>(tbSabana2016[[#This Row],[Total (Oficiales)]]-tbSabana2016[[#This Row],[CONAFOR (Oficiales)]])*217</f>
        <v>0</v>
      </c>
      <c r="CT80" s="8">
        <f>SUM(tbSabana2016[[#This Row],[Costo CONAFOR]:[Costo Otros]])</f>
        <v>3064</v>
      </c>
      <c r="CU80" s="8">
        <v>139.93</v>
      </c>
      <c r="CV80" s="8">
        <f t="shared" si="54"/>
        <v>3203.93</v>
      </c>
      <c r="CW80" s="2" t="s">
        <v>154</v>
      </c>
      <c r="CX80" s="2" t="s">
        <v>154</v>
      </c>
      <c r="CY80" s="69" t="s">
        <v>154</v>
      </c>
      <c r="CZ80" s="2" t="s">
        <v>154</v>
      </c>
      <c r="DA80" s="2" t="s">
        <v>172</v>
      </c>
      <c r="DB80" s="2" t="s">
        <v>155</v>
      </c>
      <c r="DC80" s="2" t="s">
        <v>168</v>
      </c>
      <c r="DD80" s="2" t="s">
        <v>169</v>
      </c>
      <c r="DE80" s="2" t="s">
        <v>170</v>
      </c>
      <c r="DF80" s="2" t="s">
        <v>159</v>
      </c>
      <c r="DG80" s="2" t="s">
        <v>475</v>
      </c>
      <c r="DH80" s="2">
        <v>0</v>
      </c>
      <c r="DI80" s="2">
        <v>0</v>
      </c>
      <c r="DJ80" s="2">
        <v>0.73</v>
      </c>
      <c r="DK80" s="2">
        <v>1</v>
      </c>
      <c r="DL80" s="2">
        <v>0</v>
      </c>
      <c r="DM80" s="2">
        <v>0</v>
      </c>
      <c r="DN80" s="2">
        <f t="shared" si="55"/>
        <v>1.73</v>
      </c>
    </row>
    <row r="81" spans="1:118" x14ac:dyDescent="0.25">
      <c r="A81" s="2" t="s">
        <v>504</v>
      </c>
      <c r="B81" s="25">
        <v>77</v>
      </c>
      <c r="C81" s="35">
        <v>43546</v>
      </c>
      <c r="D81" s="35">
        <v>43546</v>
      </c>
      <c r="E8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1" s="2">
        <v>71</v>
      </c>
      <c r="G81" s="2">
        <v>1</v>
      </c>
      <c r="H81" s="47">
        <f>WEEKNUM(tbSabana2016[[#This Row],[Fecha de Inicio]],15)</f>
        <v>13</v>
      </c>
      <c r="I81" s="36" t="str">
        <f>TEXT(tbSabana2016[[#This Row],[Fecha de Inicio]],"dddd")</f>
        <v>viernes</v>
      </c>
      <c r="J81" s="36" t="str">
        <f>TEXT(tbSabana2016[[#This Row],[Fecha de Inicio]],"mmmm")</f>
        <v>marzo</v>
      </c>
      <c r="K81" s="37" t="s">
        <v>143</v>
      </c>
      <c r="L81" s="23">
        <v>9</v>
      </c>
      <c r="M81" s="38" t="s">
        <v>144</v>
      </c>
      <c r="N81" s="38" t="s">
        <v>144</v>
      </c>
      <c r="O81" s="38" t="s">
        <v>507</v>
      </c>
      <c r="P81" s="38"/>
      <c r="Q81" s="47">
        <v>19</v>
      </c>
      <c r="R81" s="102">
        <v>4</v>
      </c>
      <c r="S81" s="105">
        <v>12.07</v>
      </c>
      <c r="T81" s="102">
        <v>99</v>
      </c>
      <c r="U81" s="102">
        <v>18</v>
      </c>
      <c r="V81" s="105">
        <v>59.97</v>
      </c>
      <c r="W8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12.07'' W 99° 18' 59.97''</v>
      </c>
      <c r="X81" s="44">
        <v>2971</v>
      </c>
      <c r="Y81" s="19">
        <v>0</v>
      </c>
      <c r="Z81" s="19">
        <v>0</v>
      </c>
      <c r="AA81" s="19">
        <v>1</v>
      </c>
      <c r="AB81" s="19">
        <v>2</v>
      </c>
      <c r="AC81" s="19">
        <v>0</v>
      </c>
      <c r="AD81" s="19">
        <v>0</v>
      </c>
      <c r="AE81" s="19">
        <f>SUM(tbSabana2016[[#This Row],[Arbolado Adulto (HA)]:[Suelo Orgánico (HA)]])</f>
        <v>3</v>
      </c>
      <c r="AF81" s="9">
        <f t="shared" si="56"/>
        <v>505.41999999999979</v>
      </c>
      <c r="AG81" s="9">
        <f>tbSabana2016[[#This Row],[Acumulado (HA)]]/tbSabana2016[[#This Row],[Incendio en el AÑO]]</f>
        <v>6.5638961038961012</v>
      </c>
      <c r="AH81" s="2" t="s">
        <v>147</v>
      </c>
      <c r="AI81" s="2" t="s">
        <v>497</v>
      </c>
      <c r="AJ81" s="2" t="s">
        <v>139</v>
      </c>
      <c r="AK81" s="2" t="s">
        <v>166</v>
      </c>
      <c r="AL81" s="2" t="s">
        <v>150</v>
      </c>
      <c r="AM81" s="2" t="s">
        <v>151</v>
      </c>
      <c r="AN81" s="32">
        <v>43546.34375</v>
      </c>
      <c r="AO81" s="32">
        <v>43546.347222222219</v>
      </c>
      <c r="AP81" s="32">
        <v>43546.354166666664</v>
      </c>
      <c r="AQ81" s="32">
        <v>43546.361111111109</v>
      </c>
      <c r="AR81" s="32">
        <v>43546.361111111109</v>
      </c>
      <c r="AS81" s="32"/>
      <c r="AT81" s="32">
        <v>43546.708333333336</v>
      </c>
      <c r="AU81" s="32">
        <v>43546.75</v>
      </c>
      <c r="AV81" s="32">
        <v>43546.763888888891</v>
      </c>
      <c r="AW81" s="40">
        <v>0.40625</v>
      </c>
      <c r="AX81" s="39">
        <v>3.472222222222222E-3</v>
      </c>
      <c r="AY81" s="39">
        <v>1.3888888888888888E-2</v>
      </c>
      <c r="AZ81" s="40">
        <f>SUM(tbSabana2016[[#This Row],[Duración]])</f>
        <v>0.40625</v>
      </c>
      <c r="BA81" s="2">
        <v>0.3</v>
      </c>
      <c r="BB81" s="2">
        <v>0.8</v>
      </c>
      <c r="BC81" s="2">
        <v>0</v>
      </c>
      <c r="BD81" s="2">
        <v>0</v>
      </c>
      <c r="BE81" s="2">
        <v>0.2</v>
      </c>
      <c r="BF81" s="2">
        <v>0</v>
      </c>
      <c r="BG81" s="2">
        <v>0</v>
      </c>
      <c r="BH81" s="2">
        <v>0.9</v>
      </c>
      <c r="BI81" s="2">
        <v>0</v>
      </c>
      <c r="BJ81" s="2" t="s">
        <v>602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 t="s">
        <v>497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10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3">
        <f t="shared" si="52"/>
        <v>10</v>
      </c>
      <c r="CO81" s="10">
        <f t="shared" si="40"/>
        <v>943</v>
      </c>
      <c r="CP81" s="10">
        <f t="shared" si="53"/>
        <v>10</v>
      </c>
      <c r="CQ81" s="24">
        <f>SUM(tbSabana2016[[#This Row],[Voluntarios]])</f>
        <v>0</v>
      </c>
      <c r="CR81" s="8">
        <f>tbSabana2016[[#This Row],[CONAFOR (Oficiales)]]*383</f>
        <v>0</v>
      </c>
      <c r="CS81" s="8">
        <f>(tbSabana2016[[#This Row],[Total (Oficiales)]]-tbSabana2016[[#This Row],[CONAFOR (Oficiales)]])*217</f>
        <v>2170</v>
      </c>
      <c r="CT81" s="8">
        <f>SUM(tbSabana2016[[#This Row],[Costo CONAFOR]:[Costo Otros]])</f>
        <v>2170</v>
      </c>
      <c r="CU81" s="8">
        <v>99.95</v>
      </c>
      <c r="CV81" s="8">
        <f t="shared" si="54"/>
        <v>2269.9499999999998</v>
      </c>
      <c r="CW81" s="2" t="s">
        <v>154</v>
      </c>
      <c r="CX81" s="2" t="s">
        <v>154</v>
      </c>
      <c r="CY81" s="69" t="s">
        <v>154</v>
      </c>
      <c r="CZ81" s="2" t="s">
        <v>154</v>
      </c>
      <c r="DA81" s="2" t="s">
        <v>172</v>
      </c>
      <c r="DB81" s="2" t="s">
        <v>155</v>
      </c>
      <c r="DC81" s="2" t="s">
        <v>362</v>
      </c>
      <c r="DD81" s="2" t="s">
        <v>370</v>
      </c>
      <c r="DE81" s="2" t="s">
        <v>499</v>
      </c>
      <c r="DF81" s="2" t="s">
        <v>159</v>
      </c>
      <c r="DG81" s="2" t="s">
        <v>500</v>
      </c>
      <c r="DH81" s="2">
        <v>0</v>
      </c>
      <c r="DI81" s="2">
        <v>0</v>
      </c>
      <c r="DJ81" s="2">
        <v>1</v>
      </c>
      <c r="DK81" s="2">
        <v>2</v>
      </c>
      <c r="DL81" s="2">
        <v>0</v>
      </c>
      <c r="DM81" s="2">
        <v>0</v>
      </c>
      <c r="DN81" s="2">
        <f t="shared" si="55"/>
        <v>3</v>
      </c>
    </row>
    <row r="82" spans="1:118" x14ac:dyDescent="0.25">
      <c r="A82" s="2" t="s">
        <v>505</v>
      </c>
      <c r="B82" s="25">
        <v>78</v>
      </c>
      <c r="C82" s="35">
        <v>43547</v>
      </c>
      <c r="D82" s="35">
        <v>43547</v>
      </c>
      <c r="E8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2" s="2">
        <v>72</v>
      </c>
      <c r="G82" s="2">
        <v>1</v>
      </c>
      <c r="H82" s="47">
        <f>WEEKNUM(tbSabana2016[[#This Row],[Fecha de Inicio]],15)</f>
        <v>13</v>
      </c>
      <c r="I82" s="36" t="str">
        <f>TEXT(tbSabana2016[[#This Row],[Fecha de Inicio]],"dddd")</f>
        <v>sábado</v>
      </c>
      <c r="J82" s="36" t="str">
        <f>TEXT(tbSabana2016[[#This Row],[Fecha de Inicio]],"mmmm")</f>
        <v>marzo</v>
      </c>
      <c r="K82" s="37" t="s">
        <v>143</v>
      </c>
      <c r="L82" s="23">
        <v>20</v>
      </c>
      <c r="M82" s="38" t="s">
        <v>162</v>
      </c>
      <c r="N82" s="38" t="s">
        <v>163</v>
      </c>
      <c r="O82" s="38" t="s">
        <v>312</v>
      </c>
      <c r="P82" s="38"/>
      <c r="Q82" s="47">
        <v>18</v>
      </c>
      <c r="R82" s="102">
        <v>56</v>
      </c>
      <c r="S82" s="105">
        <v>17.899999999999999</v>
      </c>
      <c r="T82" s="102">
        <v>99</v>
      </c>
      <c r="U82" s="102">
        <v>10</v>
      </c>
      <c r="V82" s="105">
        <v>6.4</v>
      </c>
      <c r="W8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17.90'' W 99° 10' 06.40''</v>
      </c>
      <c r="X82" s="44">
        <v>1520</v>
      </c>
      <c r="Y82" s="19">
        <v>0</v>
      </c>
      <c r="Z82" s="19">
        <v>0</v>
      </c>
      <c r="AA82" s="19">
        <v>0</v>
      </c>
      <c r="AB82" s="19">
        <v>0.9</v>
      </c>
      <c r="AC82" s="19">
        <v>0</v>
      </c>
      <c r="AD82" s="19">
        <v>0</v>
      </c>
      <c r="AE82" s="19">
        <f>SUM(tbSabana2016[[#This Row],[Arbolado Adulto (HA)]:[Suelo Orgánico (HA)]])</f>
        <v>0.9</v>
      </c>
      <c r="AF82" s="9">
        <f t="shared" si="56"/>
        <v>506.31999999999977</v>
      </c>
      <c r="AG82" s="9">
        <f>tbSabana2016[[#This Row],[Acumulado (HA)]]/tbSabana2016[[#This Row],[Incendio en el AÑO]]</f>
        <v>6.4912820512820479</v>
      </c>
      <c r="AH82" s="2" t="s">
        <v>147</v>
      </c>
      <c r="AI82" s="2" t="s">
        <v>165</v>
      </c>
      <c r="AJ82" s="2" t="s">
        <v>135</v>
      </c>
      <c r="AK82" s="2" t="s">
        <v>175</v>
      </c>
      <c r="AL82" s="2" t="s">
        <v>150</v>
      </c>
      <c r="AM82" s="2" t="s">
        <v>151</v>
      </c>
      <c r="AN82" s="32">
        <v>43547.545138888891</v>
      </c>
      <c r="AO82" s="32">
        <v>43547.548611111109</v>
      </c>
      <c r="AP82" s="32">
        <v>43547.552083333336</v>
      </c>
      <c r="AQ82" s="32">
        <v>43547.59375</v>
      </c>
      <c r="AR82" s="32">
        <v>43547.597222222219</v>
      </c>
      <c r="AS82" s="32"/>
      <c r="AT82" s="32">
        <v>43547.645833333336</v>
      </c>
      <c r="AU82" s="32">
        <v>43547.666666666664</v>
      </c>
      <c r="AV82" s="32">
        <v>43547.708333333336</v>
      </c>
      <c r="AW82" s="40">
        <v>0.12152777777777778</v>
      </c>
      <c r="AX82" s="39">
        <v>3.472222222222222E-3</v>
      </c>
      <c r="AY82" s="39">
        <v>4.5138888888888888E-2</v>
      </c>
      <c r="AZ82" s="40">
        <f>SUM(tbSabana2016[[#This Row],[Duración]])</f>
        <v>0.12152777777777778</v>
      </c>
      <c r="BA82" s="2">
        <v>0</v>
      </c>
      <c r="BB82" s="2">
        <v>0.15</v>
      </c>
      <c r="BC82" s="2">
        <v>0</v>
      </c>
      <c r="BD82" s="2">
        <v>0</v>
      </c>
      <c r="BE82" s="2">
        <v>0.1</v>
      </c>
      <c r="BF82" s="2">
        <v>0</v>
      </c>
      <c r="BG82" s="2">
        <v>0</v>
      </c>
      <c r="BH82" s="2">
        <v>0</v>
      </c>
      <c r="BI82" s="2">
        <v>0</v>
      </c>
      <c r="BJ82" s="2" t="s">
        <v>206</v>
      </c>
      <c r="BK82" s="2">
        <v>0</v>
      </c>
      <c r="BL82" s="2">
        <v>0</v>
      </c>
      <c r="BM82" s="2">
        <v>1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T82" s="2">
        <v>9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3">
        <f t="shared" ref="CN82:CN87" si="57">SUM(BT82:CM82)</f>
        <v>9</v>
      </c>
      <c r="CO82" s="10">
        <f t="shared" si="40"/>
        <v>952</v>
      </c>
      <c r="CP82" s="10">
        <f t="shared" ref="CP82:CP87" si="58">SUM(BT82:CG82,CI82:CM82)</f>
        <v>9</v>
      </c>
      <c r="CQ82" s="24">
        <f>SUM(tbSabana2016[[#This Row],[Voluntarios]])</f>
        <v>0</v>
      </c>
      <c r="CR82" s="8">
        <f>tbSabana2016[[#This Row],[CONAFOR (Oficiales)]]*383</f>
        <v>3447</v>
      </c>
      <c r="CS82" s="8">
        <f>(tbSabana2016[[#This Row],[Total (Oficiales)]]-tbSabana2016[[#This Row],[CONAFOR (Oficiales)]])*217</f>
        <v>0</v>
      </c>
      <c r="CT82" s="8">
        <f>SUM(tbSabana2016[[#This Row],[Costo CONAFOR]:[Costo Otros]])</f>
        <v>3447</v>
      </c>
      <c r="CU82" s="8">
        <v>167.91</v>
      </c>
      <c r="CV82" s="8">
        <f t="shared" ref="CV82:CV87" si="59">SUM(CT82:CU82)</f>
        <v>3614.91</v>
      </c>
      <c r="CW82" s="2" t="s">
        <v>154</v>
      </c>
      <c r="CX82" s="2" t="s">
        <v>154</v>
      </c>
      <c r="CY82" s="69" t="s">
        <v>154</v>
      </c>
      <c r="CZ82" s="2" t="s">
        <v>154</v>
      </c>
      <c r="DA82" s="2" t="s">
        <v>172</v>
      </c>
      <c r="DB82" s="2" t="s">
        <v>155</v>
      </c>
      <c r="DC82" s="2" t="s">
        <v>168</v>
      </c>
      <c r="DD82" s="2" t="s">
        <v>169</v>
      </c>
      <c r="DE82" s="2" t="s">
        <v>170</v>
      </c>
      <c r="DF82" s="2" t="s">
        <v>159</v>
      </c>
      <c r="DG82" s="2" t="s">
        <v>475</v>
      </c>
      <c r="DH82" s="2">
        <v>0</v>
      </c>
      <c r="DI82" s="2">
        <v>0</v>
      </c>
      <c r="DJ82" s="2">
        <v>0</v>
      </c>
      <c r="DK82" s="2">
        <v>0.9</v>
      </c>
      <c r="DL82" s="2">
        <v>0</v>
      </c>
      <c r="DM82" s="2">
        <v>0</v>
      </c>
      <c r="DN82" s="2">
        <f t="shared" ref="DN82:DN87" si="60">SUM(DH82:DM82)</f>
        <v>0.9</v>
      </c>
    </row>
    <row r="83" spans="1:118" x14ac:dyDescent="0.25">
      <c r="A83" s="2" t="s">
        <v>506</v>
      </c>
      <c r="B83" s="25">
        <v>79</v>
      </c>
      <c r="C83" s="35">
        <v>43547</v>
      </c>
      <c r="D83" s="35">
        <v>43547</v>
      </c>
      <c r="E8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3" s="2">
        <v>73</v>
      </c>
      <c r="G83" s="2">
        <v>1</v>
      </c>
      <c r="H83" s="47">
        <f>WEEKNUM(tbSabana2016[[#This Row],[Fecha de Inicio]],15)</f>
        <v>13</v>
      </c>
      <c r="I83" s="36" t="str">
        <f>TEXT(tbSabana2016[[#This Row],[Fecha de Inicio]],"dddd")</f>
        <v>sábado</v>
      </c>
      <c r="J83" s="36" t="str">
        <f>TEXT(tbSabana2016[[#This Row],[Fecha de Inicio]],"mmmm")</f>
        <v>marzo</v>
      </c>
      <c r="K83" s="37" t="s">
        <v>143</v>
      </c>
      <c r="L83" s="23">
        <v>9</v>
      </c>
      <c r="M83" s="38" t="s">
        <v>144</v>
      </c>
      <c r="N83" s="38" t="s">
        <v>144</v>
      </c>
      <c r="O83" s="38" t="s">
        <v>508</v>
      </c>
      <c r="P83" s="38"/>
      <c r="Q83" s="47">
        <v>19</v>
      </c>
      <c r="R83" s="102">
        <v>7</v>
      </c>
      <c r="S83" s="105">
        <v>22.3</v>
      </c>
      <c r="T83" s="102">
        <v>99</v>
      </c>
      <c r="U83" s="102">
        <v>16</v>
      </c>
      <c r="V83" s="105">
        <v>7.1</v>
      </c>
      <c r="W8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07' 22.30'' W 99° 16' 07.10''</v>
      </c>
      <c r="X83" s="44">
        <v>3016</v>
      </c>
      <c r="Y83" s="19">
        <v>0</v>
      </c>
      <c r="Z83" s="19">
        <v>0</v>
      </c>
      <c r="AA83" s="19">
        <v>0</v>
      </c>
      <c r="AB83" s="19">
        <v>0.9</v>
      </c>
      <c r="AC83" s="19">
        <v>0</v>
      </c>
      <c r="AD83" s="19">
        <v>0</v>
      </c>
      <c r="AE83" s="19">
        <f>SUM(tbSabana2016[[#This Row],[Arbolado Adulto (HA)]:[Suelo Orgánico (HA)]])</f>
        <v>0.9</v>
      </c>
      <c r="AF83" s="9">
        <f t="shared" ref="AF83:AF89" si="61">SUM(AF82,AE83)</f>
        <v>507.21999999999974</v>
      </c>
      <c r="AG83" s="9">
        <f>tbSabana2016[[#This Row],[Acumulado (HA)]]/tbSabana2016[[#This Row],[Incendio en el AÑO]]</f>
        <v>6.4205063291139206</v>
      </c>
      <c r="AH83" s="2" t="s">
        <v>147</v>
      </c>
      <c r="AI83" s="2" t="s">
        <v>165</v>
      </c>
      <c r="AJ83" s="2" t="s">
        <v>133</v>
      </c>
      <c r="AK83" s="2" t="s">
        <v>149</v>
      </c>
      <c r="AL83" s="2" t="s">
        <v>150</v>
      </c>
      <c r="AM83" s="2" t="s">
        <v>151</v>
      </c>
      <c r="AN83" s="32">
        <v>43547.694444444445</v>
      </c>
      <c r="AO83" s="32">
        <v>43547.697916666664</v>
      </c>
      <c r="AP83" s="32">
        <v>43547.701388888891</v>
      </c>
      <c r="AQ83" s="32">
        <v>43547.729166666664</v>
      </c>
      <c r="AR83" s="32">
        <v>43547.732638888891</v>
      </c>
      <c r="AS83" s="32"/>
      <c r="AT83" s="32">
        <v>43547.777777777781</v>
      </c>
      <c r="AU83" s="32">
        <v>43547.791666666664</v>
      </c>
      <c r="AV83" s="32">
        <v>43547.826388888891</v>
      </c>
      <c r="AW83" s="40">
        <v>9.7222222222222224E-2</v>
      </c>
      <c r="AX83" s="39">
        <v>3.472222222222222E-3</v>
      </c>
      <c r="AY83" s="39">
        <v>3.125E-2</v>
      </c>
      <c r="AZ83" s="40">
        <f>SUM(tbSabana2016[[#This Row],[Duración]])</f>
        <v>9.7222222222222224E-2</v>
      </c>
      <c r="BA83" s="2">
        <v>0.1</v>
      </c>
      <c r="BB83" s="2">
        <v>0.2</v>
      </c>
      <c r="BC83" s="2">
        <v>0</v>
      </c>
      <c r="BD83" s="2">
        <v>0</v>
      </c>
      <c r="BE83" s="2">
        <v>0.2</v>
      </c>
      <c r="BF83" s="2">
        <v>0</v>
      </c>
      <c r="BG83" s="2">
        <v>0.09</v>
      </c>
      <c r="BH83" s="2">
        <v>0.6</v>
      </c>
      <c r="BI83" s="2">
        <v>0</v>
      </c>
      <c r="BJ83" s="2" t="s">
        <v>176</v>
      </c>
      <c r="BK83" s="2">
        <v>1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T83" s="2">
        <v>6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3">
        <f t="shared" si="57"/>
        <v>6</v>
      </c>
      <c r="CO83" s="10">
        <f>SUM(CO82,CN83)</f>
        <v>958</v>
      </c>
      <c r="CP83" s="10">
        <f t="shared" si="58"/>
        <v>6</v>
      </c>
      <c r="CQ83" s="24">
        <f>SUM(tbSabana2016[[#This Row],[Voluntarios]])</f>
        <v>0</v>
      </c>
      <c r="CR83" s="8">
        <f>tbSabana2016[[#This Row],[CONAFOR (Oficiales)]]*383</f>
        <v>2298</v>
      </c>
      <c r="CS83" s="8">
        <f>(tbSabana2016[[#This Row],[Total (Oficiales)]]-tbSabana2016[[#This Row],[CONAFOR (Oficiales)]])*217</f>
        <v>0</v>
      </c>
      <c r="CT83" s="8">
        <f>SUM(tbSabana2016[[#This Row],[Costo CONAFOR]:[Costo Otros]])</f>
        <v>2298</v>
      </c>
      <c r="CU83" s="8">
        <v>346.49</v>
      </c>
      <c r="CV83" s="8">
        <f t="shared" si="59"/>
        <v>2644.49</v>
      </c>
      <c r="CW83" s="2" t="s">
        <v>154</v>
      </c>
      <c r="CX83" s="2" t="s">
        <v>154</v>
      </c>
      <c r="CY83" s="69" t="s">
        <v>154</v>
      </c>
      <c r="CZ83" s="2" t="s">
        <v>154</v>
      </c>
      <c r="DA83" s="2" t="s">
        <v>172</v>
      </c>
      <c r="DB83" s="2" t="s">
        <v>155</v>
      </c>
      <c r="DC83" s="2" t="s">
        <v>256</v>
      </c>
      <c r="DD83" s="2" t="s">
        <v>257</v>
      </c>
      <c r="DE83" s="2" t="s">
        <v>158</v>
      </c>
      <c r="DF83" s="2" t="s">
        <v>159</v>
      </c>
      <c r="DG83" s="2" t="s">
        <v>160</v>
      </c>
      <c r="DH83" s="2">
        <v>0</v>
      </c>
      <c r="DI83" s="2">
        <v>0</v>
      </c>
      <c r="DJ83" s="2">
        <v>0</v>
      </c>
      <c r="DK83" s="2">
        <v>0.9</v>
      </c>
      <c r="DL83" s="2">
        <v>0</v>
      </c>
      <c r="DM83" s="2">
        <v>0</v>
      </c>
      <c r="DN83" s="2">
        <f t="shared" si="60"/>
        <v>0.9</v>
      </c>
    </row>
    <row r="84" spans="1:118" x14ac:dyDescent="0.25">
      <c r="A84" s="2" t="s">
        <v>509</v>
      </c>
      <c r="B84" s="25">
        <v>80</v>
      </c>
      <c r="C84" s="35">
        <v>43548</v>
      </c>
      <c r="D84" s="35">
        <v>43548</v>
      </c>
      <c r="E8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4" s="2">
        <v>74</v>
      </c>
      <c r="G84" s="2">
        <v>1</v>
      </c>
      <c r="H84" s="47">
        <f>WEEKNUM(tbSabana2016[[#This Row],[Fecha de Inicio]],15)</f>
        <v>13</v>
      </c>
      <c r="I84" s="36" t="str">
        <f>TEXT(tbSabana2016[[#This Row],[Fecha de Inicio]],"dddd")</f>
        <v>domingo</v>
      </c>
      <c r="J84" s="36" t="str">
        <f>TEXT(tbSabana2016[[#This Row],[Fecha de Inicio]],"mmmm")</f>
        <v>marzo</v>
      </c>
      <c r="K84" s="37" t="s">
        <v>143</v>
      </c>
      <c r="L84" s="23">
        <v>20</v>
      </c>
      <c r="M84" s="38" t="s">
        <v>162</v>
      </c>
      <c r="N84" s="38" t="s">
        <v>163</v>
      </c>
      <c r="O84" s="38" t="s">
        <v>520</v>
      </c>
      <c r="P84" s="38"/>
      <c r="Q84" s="47">
        <v>18</v>
      </c>
      <c r="R84" s="102">
        <v>59</v>
      </c>
      <c r="S84" s="105">
        <v>33.799999999999997</v>
      </c>
      <c r="T84" s="102">
        <v>99</v>
      </c>
      <c r="U84" s="102">
        <v>9</v>
      </c>
      <c r="V84" s="105">
        <v>48.7</v>
      </c>
      <c r="W8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33.80'' W 99° 09' 48.70''</v>
      </c>
      <c r="X84" s="44">
        <v>1822</v>
      </c>
      <c r="Y84" s="19">
        <v>0</v>
      </c>
      <c r="Z84" s="19">
        <v>0</v>
      </c>
      <c r="AA84" s="19">
        <v>0.4</v>
      </c>
      <c r="AB84" s="19">
        <v>0.5</v>
      </c>
      <c r="AC84" s="19">
        <v>0</v>
      </c>
      <c r="AD84" s="19">
        <v>0</v>
      </c>
      <c r="AE84" s="19">
        <f>SUM(tbSabana2016[[#This Row],[Arbolado Adulto (HA)]:[Suelo Orgánico (HA)]])</f>
        <v>0.9</v>
      </c>
      <c r="AF84" s="9">
        <f t="shared" si="61"/>
        <v>508.11999999999972</v>
      </c>
      <c r="AG84" s="9">
        <f>tbSabana2016[[#This Row],[Acumulado (HA)]]/tbSabana2016[[#This Row],[Incendio en el AÑO]]</f>
        <v>6.3514999999999961</v>
      </c>
      <c r="AH84" s="2" t="s">
        <v>147</v>
      </c>
      <c r="AI84" s="2" t="s">
        <v>165</v>
      </c>
      <c r="AJ84" s="2" t="s">
        <v>521</v>
      </c>
      <c r="AK84" s="2" t="s">
        <v>522</v>
      </c>
      <c r="AL84" s="2" t="s">
        <v>150</v>
      </c>
      <c r="AM84" s="2" t="s">
        <v>151</v>
      </c>
      <c r="AN84" s="32">
        <v>43548.680555555555</v>
      </c>
      <c r="AO84" s="32">
        <v>43548.684027777781</v>
      </c>
      <c r="AP84" s="32">
        <v>43548.6875</v>
      </c>
      <c r="AQ84" s="32">
        <v>43548.71875</v>
      </c>
      <c r="AR84" s="32">
        <v>43548.736111111109</v>
      </c>
      <c r="AS84" s="32"/>
      <c r="AT84" s="32">
        <v>43548.791666666664</v>
      </c>
      <c r="AU84" s="32">
        <v>43548.8125</v>
      </c>
      <c r="AV84" s="32">
        <v>43548.854166666664</v>
      </c>
      <c r="AW84" s="40">
        <v>0.13194444444444445</v>
      </c>
      <c r="AX84" s="39">
        <v>3.472222222222222E-3</v>
      </c>
      <c r="AY84" s="39">
        <v>3.4722222222222224E-2</v>
      </c>
      <c r="AZ84" s="40">
        <f>SUM(tbSabana2016[[#This Row],[Duración]])</f>
        <v>0.13194444444444445</v>
      </c>
      <c r="BA84" s="2">
        <v>0.3</v>
      </c>
      <c r="BB84" s="2">
        <v>0.2</v>
      </c>
      <c r="BC84" s="2">
        <v>0</v>
      </c>
      <c r="BD84" s="2">
        <v>0.1</v>
      </c>
      <c r="BE84" s="2">
        <v>0.1</v>
      </c>
      <c r="BF84" s="2">
        <v>0</v>
      </c>
      <c r="BG84" s="2">
        <v>0.2</v>
      </c>
      <c r="BH84" s="2">
        <v>0.9</v>
      </c>
      <c r="BI84" s="2">
        <v>0</v>
      </c>
      <c r="BJ84" s="2" t="s">
        <v>329</v>
      </c>
      <c r="BK84" s="2">
        <v>0</v>
      </c>
      <c r="BL84" s="2">
        <v>0</v>
      </c>
      <c r="BM84" s="2">
        <v>0</v>
      </c>
      <c r="BN84" s="2">
        <v>1</v>
      </c>
      <c r="BO84" s="2">
        <v>0</v>
      </c>
      <c r="BP84" s="2">
        <v>0</v>
      </c>
      <c r="BQ84" s="2">
        <v>0</v>
      </c>
      <c r="BR84" s="2">
        <v>0</v>
      </c>
      <c r="BT84" s="2">
        <v>6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3">
        <f t="shared" si="57"/>
        <v>6</v>
      </c>
      <c r="CO84" s="10">
        <f t="shared" ref="CO84:CO147" si="62">SUM(CO83,CN84)</f>
        <v>964</v>
      </c>
      <c r="CP84" s="10">
        <f t="shared" si="58"/>
        <v>6</v>
      </c>
      <c r="CQ84" s="24">
        <f>SUM(tbSabana2016[[#This Row],[Voluntarios]])</f>
        <v>0</v>
      </c>
      <c r="CR84" s="8">
        <f>tbSabana2016[[#This Row],[CONAFOR (Oficiales)]]*383</f>
        <v>2298</v>
      </c>
      <c r="CS84" s="8">
        <f>(tbSabana2016[[#This Row],[Total (Oficiales)]]-tbSabana2016[[#This Row],[CONAFOR (Oficiales)]])*217</f>
        <v>0</v>
      </c>
      <c r="CT84" s="8">
        <f>SUM(tbSabana2016[[#This Row],[Costo CONAFOR]:[Costo Otros]])</f>
        <v>2298</v>
      </c>
      <c r="CU84" s="8">
        <v>163.91</v>
      </c>
      <c r="CV84" s="8">
        <f t="shared" si="59"/>
        <v>2461.91</v>
      </c>
      <c r="CW84" s="2" t="s">
        <v>154</v>
      </c>
      <c r="CX84" s="2" t="s">
        <v>154</v>
      </c>
      <c r="CY84" s="69" t="s">
        <v>154</v>
      </c>
      <c r="CZ84" s="2" t="s">
        <v>154</v>
      </c>
      <c r="DA84" s="2" t="s">
        <v>172</v>
      </c>
      <c r="DB84" s="2" t="s">
        <v>155</v>
      </c>
      <c r="DC84" s="2" t="s">
        <v>491</v>
      </c>
      <c r="DD84" s="2" t="s">
        <v>492</v>
      </c>
      <c r="DE84" s="2" t="s">
        <v>170</v>
      </c>
      <c r="DF84" s="2" t="s">
        <v>159</v>
      </c>
      <c r="DG84" s="2" t="s">
        <v>475</v>
      </c>
      <c r="DH84" s="2">
        <v>0</v>
      </c>
      <c r="DI84" s="2">
        <v>0</v>
      </c>
      <c r="DJ84" s="2">
        <v>0.4</v>
      </c>
      <c r="DK84" s="2">
        <v>0.5</v>
      </c>
      <c r="DL84" s="2">
        <v>0</v>
      </c>
      <c r="DM84" s="2">
        <v>0</v>
      </c>
      <c r="DN84" s="2">
        <f t="shared" si="60"/>
        <v>0.9</v>
      </c>
    </row>
    <row r="85" spans="1:118" x14ac:dyDescent="0.25">
      <c r="A85" s="2" t="s">
        <v>510</v>
      </c>
      <c r="B85" s="25">
        <v>81</v>
      </c>
      <c r="C85" s="35">
        <v>43548</v>
      </c>
      <c r="D85" s="35">
        <v>43548</v>
      </c>
      <c r="E8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5" s="2">
        <v>75</v>
      </c>
      <c r="G85" s="2">
        <v>1</v>
      </c>
      <c r="H85" s="47">
        <f>WEEKNUM(tbSabana2016[[#This Row],[Fecha de Inicio]],15)</f>
        <v>13</v>
      </c>
      <c r="I85" s="36" t="str">
        <f>TEXT(tbSabana2016[[#This Row],[Fecha de Inicio]],"dddd")</f>
        <v>domingo</v>
      </c>
      <c r="J85" s="36" t="str">
        <f>TEXT(tbSabana2016[[#This Row],[Fecha de Inicio]],"mmmm")</f>
        <v>marzo</v>
      </c>
      <c r="K85" s="37" t="s">
        <v>143</v>
      </c>
      <c r="L85" s="23">
        <v>9</v>
      </c>
      <c r="M85" s="38" t="s">
        <v>144</v>
      </c>
      <c r="N85" s="38" t="s">
        <v>144</v>
      </c>
      <c r="O85" s="38" t="s">
        <v>511</v>
      </c>
      <c r="P85" s="38" t="s">
        <v>219</v>
      </c>
      <c r="Q85" s="47">
        <v>19</v>
      </c>
      <c r="R85" s="102">
        <v>3</v>
      </c>
      <c r="S85" s="105">
        <v>20.48</v>
      </c>
      <c r="T85" s="102">
        <v>99</v>
      </c>
      <c r="U85" s="102">
        <v>16</v>
      </c>
      <c r="V85" s="105">
        <v>13.18</v>
      </c>
      <c r="W8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20.48'' W 99° 16' 13.18''</v>
      </c>
      <c r="X85" s="44">
        <v>2803</v>
      </c>
      <c r="Y85" s="19">
        <v>0</v>
      </c>
      <c r="Z85" s="19">
        <v>0</v>
      </c>
      <c r="AA85" s="19">
        <v>1</v>
      </c>
      <c r="AB85" s="19">
        <v>2</v>
      </c>
      <c r="AC85" s="19">
        <v>0</v>
      </c>
      <c r="AD85" s="19">
        <v>0.24</v>
      </c>
      <c r="AE85" s="19">
        <f>SUM(tbSabana2016[[#This Row],[Arbolado Adulto (HA)]:[Suelo Orgánico (HA)]])</f>
        <v>3.24</v>
      </c>
      <c r="AF85" s="9">
        <f t="shared" si="61"/>
        <v>511.35999999999973</v>
      </c>
      <c r="AG85" s="9">
        <f>tbSabana2016[[#This Row],[Acumulado (HA)]]/tbSabana2016[[#This Row],[Incendio en el AÑO]]</f>
        <v>6.3130864197530832</v>
      </c>
      <c r="AH85" s="2" t="s">
        <v>147</v>
      </c>
      <c r="AI85" s="2" t="s">
        <v>283</v>
      </c>
      <c r="AJ85" s="2" t="s">
        <v>133</v>
      </c>
      <c r="AK85" s="2" t="s">
        <v>149</v>
      </c>
      <c r="AL85" s="2" t="s">
        <v>150</v>
      </c>
      <c r="AM85" s="2" t="s">
        <v>151</v>
      </c>
      <c r="AN85" s="32">
        <v>43548.701388888891</v>
      </c>
      <c r="AO85" s="32">
        <v>43548.704861111109</v>
      </c>
      <c r="AP85" s="32">
        <v>43548.708333333336</v>
      </c>
      <c r="AQ85" s="32">
        <v>43548.753472222219</v>
      </c>
      <c r="AR85" s="32">
        <v>43548.756944444445</v>
      </c>
      <c r="AS85" s="32"/>
      <c r="AT85" s="32">
        <v>43548.875</v>
      </c>
      <c r="AU85" s="32">
        <v>43548.916666666664</v>
      </c>
      <c r="AV85" s="32">
        <v>43548.979166666664</v>
      </c>
      <c r="AW85" s="40">
        <v>0.21527777777777779</v>
      </c>
      <c r="AX85" s="39">
        <v>3.472222222222222E-3</v>
      </c>
      <c r="AY85" s="39">
        <v>4.8611111111111112E-2</v>
      </c>
      <c r="AZ85" s="40">
        <f>SUM(tbSabana2016[[#This Row],[Duración]])</f>
        <v>0.21527777777777779</v>
      </c>
      <c r="BA85" s="2">
        <v>0.2</v>
      </c>
      <c r="BB85" s="2">
        <v>0.4</v>
      </c>
      <c r="BC85" s="2">
        <v>0</v>
      </c>
      <c r="BD85" s="2">
        <v>0</v>
      </c>
      <c r="BE85" s="2">
        <v>0.4</v>
      </c>
      <c r="BF85" s="2">
        <v>0</v>
      </c>
      <c r="BG85" s="2">
        <v>0.1</v>
      </c>
      <c r="BH85" s="2">
        <v>0.6</v>
      </c>
      <c r="BI85" s="2">
        <v>0</v>
      </c>
      <c r="BJ85" s="2" t="s">
        <v>181</v>
      </c>
      <c r="BK85" s="2">
        <v>0</v>
      </c>
      <c r="BL85" s="2">
        <v>1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T85" s="2">
        <v>9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3">
        <f t="shared" si="57"/>
        <v>9</v>
      </c>
      <c r="CO85" s="10">
        <f t="shared" si="62"/>
        <v>973</v>
      </c>
      <c r="CP85" s="10">
        <f t="shared" si="58"/>
        <v>9</v>
      </c>
      <c r="CQ85" s="24">
        <f>SUM(tbSabana2016[[#This Row],[Voluntarios]])</f>
        <v>0</v>
      </c>
      <c r="CR85" s="8">
        <f>tbSabana2016[[#This Row],[CONAFOR (Oficiales)]]*383</f>
        <v>3447</v>
      </c>
      <c r="CS85" s="8">
        <f>(tbSabana2016[[#This Row],[Total (Oficiales)]]-tbSabana2016[[#This Row],[CONAFOR (Oficiales)]])*217</f>
        <v>0</v>
      </c>
      <c r="CT85" s="8">
        <f>SUM(tbSabana2016[[#This Row],[Costo CONAFOR]:[Costo Otros]])</f>
        <v>3447</v>
      </c>
      <c r="CU85" s="8">
        <v>166.58</v>
      </c>
      <c r="CV85" s="8">
        <f t="shared" si="59"/>
        <v>3613.58</v>
      </c>
      <c r="CW85" s="2" t="s">
        <v>154</v>
      </c>
      <c r="CX85" s="2" t="s">
        <v>154</v>
      </c>
      <c r="CY85" s="69" t="s">
        <v>154</v>
      </c>
      <c r="CZ85" s="2" t="s">
        <v>154</v>
      </c>
      <c r="DA85" s="2" t="s">
        <v>172</v>
      </c>
      <c r="DB85" s="2" t="s">
        <v>155</v>
      </c>
      <c r="DC85" s="2" t="s">
        <v>278</v>
      </c>
      <c r="DD85" s="2" t="s">
        <v>279</v>
      </c>
      <c r="DE85" s="2" t="s">
        <v>158</v>
      </c>
      <c r="DF85" s="2" t="s">
        <v>159</v>
      </c>
      <c r="DG85" s="2" t="s">
        <v>160</v>
      </c>
      <c r="DH85" s="2">
        <v>0</v>
      </c>
      <c r="DI85" s="2">
        <v>0</v>
      </c>
      <c r="DJ85" s="2">
        <v>1</v>
      </c>
      <c r="DK85" s="2">
        <v>2</v>
      </c>
      <c r="DL85" s="2">
        <v>0</v>
      </c>
      <c r="DM85" s="2">
        <v>0.24</v>
      </c>
      <c r="DN85" s="2">
        <f t="shared" si="60"/>
        <v>3.24</v>
      </c>
    </row>
    <row r="86" spans="1:118" x14ac:dyDescent="0.25">
      <c r="A86" s="2" t="s">
        <v>512</v>
      </c>
      <c r="B86" s="25">
        <v>82</v>
      </c>
      <c r="C86" s="35">
        <v>43548</v>
      </c>
      <c r="D86" s="35">
        <v>43548</v>
      </c>
      <c r="E8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6" s="2">
        <v>76</v>
      </c>
      <c r="G86" s="2">
        <v>1</v>
      </c>
      <c r="H86" s="47">
        <f>WEEKNUM(tbSabana2016[[#This Row],[Fecha de Inicio]],15)</f>
        <v>13</v>
      </c>
      <c r="I86" s="36" t="str">
        <f>TEXT(tbSabana2016[[#This Row],[Fecha de Inicio]],"dddd")</f>
        <v>domingo</v>
      </c>
      <c r="J86" s="36" t="str">
        <f>TEXT(tbSabana2016[[#This Row],[Fecha de Inicio]],"mmmm")</f>
        <v>marzo</v>
      </c>
      <c r="K86" s="37" t="s">
        <v>143</v>
      </c>
      <c r="L86" s="23">
        <v>9</v>
      </c>
      <c r="M86" s="38" t="s">
        <v>144</v>
      </c>
      <c r="N86" s="38" t="s">
        <v>144</v>
      </c>
      <c r="O86" s="38" t="s">
        <v>513</v>
      </c>
      <c r="P86" s="38"/>
      <c r="Q86" s="47">
        <v>19</v>
      </c>
      <c r="R86" s="102">
        <v>3</v>
      </c>
      <c r="S86" s="105">
        <v>58.95</v>
      </c>
      <c r="T86" s="102">
        <v>99</v>
      </c>
      <c r="U86" s="102">
        <v>18</v>
      </c>
      <c r="V86" s="105">
        <v>55.76</v>
      </c>
      <c r="W8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58.95'' W 99° 18' 55.76''</v>
      </c>
      <c r="X86" s="44">
        <v>2907</v>
      </c>
      <c r="Y86" s="19">
        <v>0</v>
      </c>
      <c r="Z86" s="19">
        <v>0</v>
      </c>
      <c r="AA86" s="19">
        <v>1.0900000000000001</v>
      </c>
      <c r="AB86" s="19">
        <v>2</v>
      </c>
      <c r="AC86" s="19">
        <v>0</v>
      </c>
      <c r="AD86" s="19">
        <v>0</v>
      </c>
      <c r="AE86" s="19">
        <f>SUM(tbSabana2016[[#This Row],[Arbolado Adulto (HA)]:[Suelo Orgánico (HA)]])</f>
        <v>3.09</v>
      </c>
      <c r="AF86" s="9">
        <f t="shared" si="61"/>
        <v>514.4499999999997</v>
      </c>
      <c r="AG86" s="9">
        <f>tbSabana2016[[#This Row],[Acumulado (HA)]]/tbSabana2016[[#This Row],[Incendio en el AÑO]]</f>
        <v>6.2737804878048742</v>
      </c>
      <c r="AH86" s="2" t="s">
        <v>147</v>
      </c>
      <c r="AI86" s="2" t="s">
        <v>497</v>
      </c>
      <c r="AJ86" s="2" t="s">
        <v>139</v>
      </c>
      <c r="AK86" s="2" t="s">
        <v>166</v>
      </c>
      <c r="AL86" s="2" t="s">
        <v>150</v>
      </c>
      <c r="AM86" s="2" t="s">
        <v>151</v>
      </c>
      <c r="AN86" s="32">
        <v>43548.527777777781</v>
      </c>
      <c r="AO86" s="32">
        <v>43548.53125</v>
      </c>
      <c r="AP86" s="32">
        <v>43548.534722222219</v>
      </c>
      <c r="AQ86" s="32">
        <v>43548.541666666664</v>
      </c>
      <c r="AR86" s="32">
        <v>43548.541666666664</v>
      </c>
      <c r="AS86" s="32"/>
      <c r="AT86" s="32">
        <v>43548.625</v>
      </c>
      <c r="AU86" s="32">
        <v>43548.638888888891</v>
      </c>
      <c r="AV86" s="32">
        <v>43548.645833333336</v>
      </c>
      <c r="AW86" s="40">
        <v>0.1111111111111111</v>
      </c>
      <c r="AX86" s="39">
        <v>3.472222222222222E-3</v>
      </c>
      <c r="AY86" s="39">
        <v>1.0416666666666666E-2</v>
      </c>
      <c r="AZ86" s="40">
        <f>SUM(tbSabana2016[[#This Row],[Duración]])</f>
        <v>0.1111111111111111</v>
      </c>
      <c r="BA86" s="2">
        <v>0.7</v>
      </c>
      <c r="BB86" s="2">
        <v>0.9</v>
      </c>
      <c r="BC86" s="2">
        <v>0</v>
      </c>
      <c r="BD86" s="2">
        <v>0</v>
      </c>
      <c r="BE86" s="2">
        <v>0.2</v>
      </c>
      <c r="BF86" s="2">
        <v>0</v>
      </c>
      <c r="BG86" s="2">
        <v>0</v>
      </c>
      <c r="BH86" s="2">
        <v>1</v>
      </c>
      <c r="BI86" s="2">
        <v>0</v>
      </c>
      <c r="BJ86" s="2" t="s">
        <v>602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 t="s">
        <v>497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11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3">
        <f t="shared" si="57"/>
        <v>11</v>
      </c>
      <c r="CO86" s="10">
        <f t="shared" si="62"/>
        <v>984</v>
      </c>
      <c r="CP86" s="10">
        <f t="shared" si="58"/>
        <v>11</v>
      </c>
      <c r="CQ86" s="24">
        <f>SUM(tbSabana2016[[#This Row],[Voluntarios]])</f>
        <v>0</v>
      </c>
      <c r="CR86" s="8">
        <f>tbSabana2016[[#This Row],[CONAFOR (Oficiales)]]*383</f>
        <v>0</v>
      </c>
      <c r="CS86" s="8">
        <f>(tbSabana2016[[#This Row],[Total (Oficiales)]]-tbSabana2016[[#This Row],[CONAFOR (Oficiales)]])*217</f>
        <v>2387</v>
      </c>
      <c r="CT86" s="8">
        <f>SUM(tbSabana2016[[#This Row],[Costo CONAFOR]:[Costo Otros]])</f>
        <v>2387</v>
      </c>
      <c r="CU86" s="8">
        <v>95</v>
      </c>
      <c r="CV86" s="8">
        <f t="shared" si="59"/>
        <v>2482</v>
      </c>
      <c r="CW86" s="2" t="s">
        <v>154</v>
      </c>
      <c r="CX86" s="2" t="s">
        <v>154</v>
      </c>
      <c r="CY86" s="69" t="s">
        <v>154</v>
      </c>
      <c r="CZ86" s="2" t="s">
        <v>154</v>
      </c>
      <c r="DA86" s="2" t="s">
        <v>172</v>
      </c>
      <c r="DB86" s="2" t="s">
        <v>155</v>
      </c>
      <c r="DC86" s="2" t="s">
        <v>362</v>
      </c>
      <c r="DD86" s="2" t="s">
        <v>279</v>
      </c>
      <c r="DE86" s="2" t="s">
        <v>499</v>
      </c>
      <c r="DF86" s="2" t="s">
        <v>159</v>
      </c>
      <c r="DG86" s="2" t="s">
        <v>500</v>
      </c>
      <c r="DH86" s="2">
        <v>0</v>
      </c>
      <c r="DI86" s="2">
        <v>0</v>
      </c>
      <c r="DJ86" s="2">
        <v>1.0900000000000001</v>
      </c>
      <c r="DK86" s="2">
        <v>2</v>
      </c>
      <c r="DL86" s="2">
        <v>0</v>
      </c>
      <c r="DM86" s="2">
        <v>0</v>
      </c>
      <c r="DN86" s="2">
        <f t="shared" si="60"/>
        <v>3.09</v>
      </c>
    </row>
    <row r="87" spans="1:118" x14ac:dyDescent="0.25">
      <c r="A87" s="2" t="s">
        <v>514</v>
      </c>
      <c r="B87" s="25">
        <v>83</v>
      </c>
      <c r="C87" s="35">
        <v>43546</v>
      </c>
      <c r="D87" s="35">
        <v>43546</v>
      </c>
      <c r="E8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7" s="2">
        <v>77</v>
      </c>
      <c r="G87" s="2">
        <v>1</v>
      </c>
      <c r="H87" s="47">
        <f>WEEKNUM(tbSabana2016[[#This Row],[Fecha de Inicio]],15)</f>
        <v>13</v>
      </c>
      <c r="I87" s="36" t="str">
        <f>TEXT(tbSabana2016[[#This Row],[Fecha de Inicio]],"dddd")</f>
        <v>viernes</v>
      </c>
      <c r="J87" s="36" t="str">
        <f>TEXT(tbSabana2016[[#This Row],[Fecha de Inicio]],"mmmm")</f>
        <v>marzo</v>
      </c>
      <c r="K87" s="37" t="s">
        <v>143</v>
      </c>
      <c r="L87" s="23">
        <v>29</v>
      </c>
      <c r="M87" s="38" t="s">
        <v>231</v>
      </c>
      <c r="N87" s="38" t="s">
        <v>231</v>
      </c>
      <c r="O87" s="38" t="s">
        <v>515</v>
      </c>
      <c r="P87" s="38" t="s">
        <v>174</v>
      </c>
      <c r="Q87" s="47">
        <v>18</v>
      </c>
      <c r="R87" s="102">
        <v>51</v>
      </c>
      <c r="S87" s="105">
        <v>58.7</v>
      </c>
      <c r="T87" s="102">
        <v>99</v>
      </c>
      <c r="U87" s="102">
        <v>6</v>
      </c>
      <c r="V87" s="105">
        <v>41.4</v>
      </c>
      <c r="W8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51' 58.70'' W 99° 06' 41.40''</v>
      </c>
      <c r="X87" s="44">
        <v>1380</v>
      </c>
      <c r="Y87" s="19">
        <v>0</v>
      </c>
      <c r="Z87" s="19">
        <v>0</v>
      </c>
      <c r="AA87" s="19">
        <v>0.9</v>
      </c>
      <c r="AB87" s="19">
        <v>0</v>
      </c>
      <c r="AC87" s="19">
        <v>0</v>
      </c>
      <c r="AD87" s="19">
        <v>0</v>
      </c>
      <c r="AE87" s="19">
        <f>SUM(tbSabana2016[[#This Row],[Arbolado Adulto (HA)]:[Suelo Orgánico (HA)]])</f>
        <v>0.9</v>
      </c>
      <c r="AF87" s="9">
        <f t="shared" si="61"/>
        <v>515.34999999999968</v>
      </c>
      <c r="AG87" s="9">
        <f>tbSabana2016[[#This Row],[Acumulado (HA)]]/tbSabana2016[[#This Row],[Incendio en el AÑO]]</f>
        <v>6.2090361445783095</v>
      </c>
      <c r="AH87" s="2" t="s">
        <v>147</v>
      </c>
      <c r="AI87" s="2" t="s">
        <v>283</v>
      </c>
      <c r="AJ87" s="2" t="s">
        <v>139</v>
      </c>
      <c r="AK87" s="2" t="s">
        <v>166</v>
      </c>
      <c r="AL87" s="2" t="s">
        <v>150</v>
      </c>
      <c r="AM87" s="2" t="s">
        <v>151</v>
      </c>
      <c r="AN87" s="32">
        <v>43546.642361111109</v>
      </c>
      <c r="AO87" s="32">
        <v>43546.645833333336</v>
      </c>
      <c r="AP87" s="32">
        <v>43546.649305555555</v>
      </c>
      <c r="AQ87" s="32">
        <v>43546.673611111109</v>
      </c>
      <c r="AR87" s="32">
        <v>43546.684027777781</v>
      </c>
      <c r="AS87" s="32"/>
      <c r="AT87" s="32">
        <v>43546.732638888891</v>
      </c>
      <c r="AU87" s="32">
        <v>43546.75</v>
      </c>
      <c r="AV87" s="32">
        <v>43546.770833333336</v>
      </c>
      <c r="AW87" s="40">
        <v>0.1076388888888889</v>
      </c>
      <c r="AX87" s="39">
        <v>3.472222222222222E-3</v>
      </c>
      <c r="AY87" s="39">
        <v>2.7777777777777776E-2</v>
      </c>
      <c r="AZ87" s="40">
        <f>SUM(tbSabana2016[[#This Row],[Duración]])</f>
        <v>0.1076388888888889</v>
      </c>
      <c r="BA87" s="2">
        <v>0.2</v>
      </c>
      <c r="BB87" s="2">
        <v>0.3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 t="s">
        <v>242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 t="s">
        <v>243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12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3">
        <f t="shared" si="57"/>
        <v>12</v>
      </c>
      <c r="CO87" s="10">
        <f t="shared" si="62"/>
        <v>996</v>
      </c>
      <c r="CP87" s="10">
        <f t="shared" si="58"/>
        <v>12</v>
      </c>
      <c r="CQ87" s="24">
        <f>SUM(tbSabana2016[[#This Row],[Voluntarios]])</f>
        <v>0</v>
      </c>
      <c r="CR87" s="8">
        <f>tbSabana2016[[#This Row],[CONAFOR (Oficiales)]]*383</f>
        <v>0</v>
      </c>
      <c r="CS87" s="8">
        <f>(tbSabana2016[[#This Row],[Total (Oficiales)]]-tbSabana2016[[#This Row],[CONAFOR (Oficiales)]])*217</f>
        <v>2604</v>
      </c>
      <c r="CT87" s="8">
        <f>SUM(tbSabana2016[[#This Row],[Costo CONAFOR]:[Costo Otros]])</f>
        <v>2604</v>
      </c>
      <c r="CU87" s="8">
        <v>263.86</v>
      </c>
      <c r="CV87" s="8">
        <f t="shared" si="59"/>
        <v>2867.86</v>
      </c>
      <c r="CW87" s="2" t="s">
        <v>154</v>
      </c>
      <c r="CX87" s="2" t="s">
        <v>154</v>
      </c>
      <c r="CY87" s="69" t="s">
        <v>154</v>
      </c>
      <c r="CZ87" s="2" t="s">
        <v>154</v>
      </c>
      <c r="DA87" s="2" t="s">
        <v>172</v>
      </c>
      <c r="DB87" s="2" t="s">
        <v>155</v>
      </c>
      <c r="DC87" s="2" t="s">
        <v>168</v>
      </c>
      <c r="DD87" s="2" t="s">
        <v>169</v>
      </c>
      <c r="DE87" s="2" t="s">
        <v>267</v>
      </c>
      <c r="DF87" s="2" t="s">
        <v>159</v>
      </c>
      <c r="DG87" s="2" t="s">
        <v>268</v>
      </c>
      <c r="DH87" s="2">
        <v>0</v>
      </c>
      <c r="DI87" s="2">
        <v>0</v>
      </c>
      <c r="DJ87" s="2">
        <v>0.9</v>
      </c>
      <c r="DK87" s="2">
        <v>0</v>
      </c>
      <c r="DL87" s="2">
        <v>0</v>
      </c>
      <c r="DM87" s="2">
        <v>0</v>
      </c>
      <c r="DN87" s="2">
        <f t="shared" si="60"/>
        <v>0.9</v>
      </c>
    </row>
    <row r="88" spans="1:118" x14ac:dyDescent="0.25">
      <c r="A88" s="2" t="s">
        <v>516</v>
      </c>
      <c r="B88" s="25">
        <v>84</v>
      </c>
      <c r="C88" s="35">
        <v>43549</v>
      </c>
      <c r="D88" s="35">
        <v>43549</v>
      </c>
      <c r="E8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8" s="2">
        <v>78</v>
      </c>
      <c r="G88" s="2">
        <v>1</v>
      </c>
      <c r="H88" s="47">
        <f>WEEKNUM(tbSabana2016[[#This Row],[Fecha de Inicio]],15)</f>
        <v>13</v>
      </c>
      <c r="I88" s="36" t="str">
        <f>TEXT(tbSabana2016[[#This Row],[Fecha de Inicio]],"dddd")</f>
        <v>lunes</v>
      </c>
      <c r="J88" s="36" t="str">
        <f>TEXT(tbSabana2016[[#This Row],[Fecha de Inicio]],"mmmm")</f>
        <v>marzo</v>
      </c>
      <c r="K88" s="37" t="s">
        <v>143</v>
      </c>
      <c r="L88" s="23">
        <v>9</v>
      </c>
      <c r="M88" s="38" t="s">
        <v>144</v>
      </c>
      <c r="N88" s="38" t="s">
        <v>144</v>
      </c>
      <c r="O88" s="38" t="s">
        <v>517</v>
      </c>
      <c r="P88" s="38"/>
      <c r="Q88" s="47">
        <v>19</v>
      </c>
      <c r="R88" s="102">
        <v>7</v>
      </c>
      <c r="S88" s="105">
        <v>2.02</v>
      </c>
      <c r="T88" s="102">
        <v>99</v>
      </c>
      <c r="U88" s="102">
        <v>15</v>
      </c>
      <c r="V88" s="105">
        <v>58.14</v>
      </c>
      <c r="W8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07' 02.02'' W 99° 15' 58.14''</v>
      </c>
      <c r="X88" s="44">
        <v>2987</v>
      </c>
      <c r="Y88" s="19">
        <v>0</v>
      </c>
      <c r="Z88" s="19">
        <v>0</v>
      </c>
      <c r="AA88" s="19">
        <v>2.21</v>
      </c>
      <c r="AB88" s="19">
        <v>2</v>
      </c>
      <c r="AC88" s="19">
        <v>0</v>
      </c>
      <c r="AD88" s="19">
        <v>0</v>
      </c>
      <c r="AE88" s="19">
        <f>SUM(tbSabana2016[[#This Row],[Arbolado Adulto (HA)]:[Suelo Orgánico (HA)]])</f>
        <v>4.21</v>
      </c>
      <c r="AF88" s="9">
        <f t="shared" si="61"/>
        <v>519.55999999999972</v>
      </c>
      <c r="AG88" s="9">
        <f>tbSabana2016[[#This Row],[Acumulado (HA)]]/tbSabana2016[[#This Row],[Incendio en el AÑO]]</f>
        <v>6.1852380952380921</v>
      </c>
      <c r="AH88" s="2" t="s">
        <v>147</v>
      </c>
      <c r="AI88" s="2" t="s">
        <v>165</v>
      </c>
      <c r="AJ88" s="2" t="s">
        <v>133</v>
      </c>
      <c r="AK88" s="2" t="s">
        <v>149</v>
      </c>
      <c r="AL88" s="2" t="s">
        <v>150</v>
      </c>
      <c r="AM88" s="2" t="s">
        <v>151</v>
      </c>
      <c r="AN88" s="32">
        <v>43549.552083333336</v>
      </c>
      <c r="AO88" s="32">
        <v>43549.555555555555</v>
      </c>
      <c r="AP88" s="32">
        <v>43549.559027777781</v>
      </c>
      <c r="AQ88" s="32">
        <v>43549.600694444445</v>
      </c>
      <c r="AR88" s="32">
        <v>43549.604166666664</v>
      </c>
      <c r="AS88" s="32"/>
      <c r="AT88" s="32">
        <v>43549.708333333336</v>
      </c>
      <c r="AU88" s="32">
        <v>43549.75</v>
      </c>
      <c r="AV88" s="32">
        <v>43549.777777777781</v>
      </c>
      <c r="AW88" s="40">
        <v>0.19791666666666666</v>
      </c>
      <c r="AX88" s="39">
        <v>3.472222222222222E-3</v>
      </c>
      <c r="AY88" s="39">
        <v>4.5138888888888888E-2</v>
      </c>
      <c r="AZ88" s="40">
        <f>SUM(tbSabana2016[[#This Row],[Duración]])</f>
        <v>0.19791666666666666</v>
      </c>
      <c r="BA88" s="2">
        <v>0.8</v>
      </c>
      <c r="BB88" s="2">
        <v>0.5</v>
      </c>
      <c r="BC88" s="2">
        <v>0</v>
      </c>
      <c r="BD88" s="2">
        <v>0</v>
      </c>
      <c r="BE88" s="2">
        <v>0.8</v>
      </c>
      <c r="BF88" s="2">
        <v>0</v>
      </c>
      <c r="BG88" s="2">
        <v>0</v>
      </c>
      <c r="BH88" s="2">
        <v>0</v>
      </c>
      <c r="BI88" s="2">
        <v>0</v>
      </c>
      <c r="BJ88" s="2" t="s">
        <v>206</v>
      </c>
      <c r="BK88" s="2">
        <v>0</v>
      </c>
      <c r="BL88" s="2">
        <v>0</v>
      </c>
      <c r="BM88" s="2">
        <v>1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 t="s">
        <v>497</v>
      </c>
      <c r="BT88" s="2">
        <v>10</v>
      </c>
      <c r="BU88" s="2">
        <v>0</v>
      </c>
      <c r="BV88" s="2">
        <v>0</v>
      </c>
      <c r="BW88" s="2">
        <v>0</v>
      </c>
      <c r="BX88" s="2">
        <v>0</v>
      </c>
      <c r="BY88" s="2">
        <v>5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3">
        <f t="shared" ref="CN88:CN94" si="63">SUM(BT88:CM88)</f>
        <v>15</v>
      </c>
      <c r="CO88" s="10">
        <f t="shared" si="62"/>
        <v>1011</v>
      </c>
      <c r="CP88" s="10">
        <f t="shared" ref="CP88:CP94" si="64">SUM(BT88:CG88,CI88:CM88)</f>
        <v>15</v>
      </c>
      <c r="CQ88" s="24">
        <f>SUM(tbSabana2016[[#This Row],[Voluntarios]])</f>
        <v>0</v>
      </c>
      <c r="CR88" s="8">
        <f>tbSabana2016[[#This Row],[CONAFOR (Oficiales)]]*383</f>
        <v>3830</v>
      </c>
      <c r="CS88" s="8">
        <f>(tbSabana2016[[#This Row],[Total (Oficiales)]]-tbSabana2016[[#This Row],[CONAFOR (Oficiales)]])*217</f>
        <v>1085</v>
      </c>
      <c r="CT88" s="8">
        <f>SUM(tbSabana2016[[#This Row],[Costo CONAFOR]:[Costo Otros]])</f>
        <v>4915</v>
      </c>
      <c r="CU88" s="8">
        <v>531.73</v>
      </c>
      <c r="CV88" s="8">
        <f t="shared" ref="CV88:CV94" si="65">SUM(CT88:CU88)</f>
        <v>5446.73</v>
      </c>
      <c r="CW88" s="2" t="s">
        <v>154</v>
      </c>
      <c r="CX88" s="2" t="s">
        <v>154</v>
      </c>
      <c r="CY88" s="69" t="s">
        <v>154</v>
      </c>
      <c r="CZ88" s="2" t="s">
        <v>154</v>
      </c>
      <c r="DA88" s="2" t="s">
        <v>172</v>
      </c>
      <c r="DB88" s="2" t="s">
        <v>155</v>
      </c>
      <c r="DC88" s="2" t="s">
        <v>256</v>
      </c>
      <c r="DD88" s="2" t="s">
        <v>257</v>
      </c>
      <c r="DE88" s="2" t="s">
        <v>158</v>
      </c>
      <c r="DF88" s="2" t="s">
        <v>159</v>
      </c>
      <c r="DG88" s="2" t="s">
        <v>160</v>
      </c>
      <c r="DH88" s="2">
        <v>0</v>
      </c>
      <c r="DI88" s="2">
        <v>0</v>
      </c>
      <c r="DJ88" s="2">
        <v>2.21</v>
      </c>
      <c r="DK88" s="2">
        <v>2</v>
      </c>
      <c r="DL88" s="2">
        <v>0</v>
      </c>
      <c r="DM88" s="2">
        <v>0</v>
      </c>
      <c r="DN88" s="2">
        <f t="shared" ref="DN88:DN94" si="66">SUM(DH88:DM88)</f>
        <v>4.21</v>
      </c>
    </row>
    <row r="89" spans="1:118" x14ac:dyDescent="0.25">
      <c r="A89" s="2" t="s">
        <v>518</v>
      </c>
      <c r="B89" s="25">
        <v>85</v>
      </c>
      <c r="C89" s="35">
        <v>43549</v>
      </c>
      <c r="D89" s="35">
        <v>43549</v>
      </c>
      <c r="E8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89" s="2">
        <v>79</v>
      </c>
      <c r="G89" s="2">
        <v>1</v>
      </c>
      <c r="H89" s="47">
        <f>WEEKNUM(tbSabana2016[[#This Row],[Fecha de Inicio]],15)</f>
        <v>13</v>
      </c>
      <c r="I89" s="36" t="str">
        <f>TEXT(tbSabana2016[[#This Row],[Fecha de Inicio]],"dddd")</f>
        <v>lunes</v>
      </c>
      <c r="J89" s="36" t="str">
        <f>TEXT(tbSabana2016[[#This Row],[Fecha de Inicio]],"mmmm")</f>
        <v>marzo</v>
      </c>
      <c r="K89" s="37" t="s">
        <v>143</v>
      </c>
      <c r="L89" s="23">
        <v>29</v>
      </c>
      <c r="M89" s="38" t="s">
        <v>231</v>
      </c>
      <c r="N89" s="38" t="s">
        <v>231</v>
      </c>
      <c r="O89" s="38" t="s">
        <v>515</v>
      </c>
      <c r="P89" s="38" t="s">
        <v>249</v>
      </c>
      <c r="Q89" s="47">
        <v>18</v>
      </c>
      <c r="R89" s="102">
        <v>53</v>
      </c>
      <c r="S89" s="105">
        <v>18.89</v>
      </c>
      <c r="T89" s="102">
        <v>99</v>
      </c>
      <c r="U89" s="102">
        <v>6</v>
      </c>
      <c r="V89" s="105">
        <v>21.45</v>
      </c>
      <c r="W8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53' 18.89'' W 99° 06' 21.45''</v>
      </c>
      <c r="X89" s="44">
        <v>1395</v>
      </c>
      <c r="Y89" s="19">
        <v>0</v>
      </c>
      <c r="Z89" s="19">
        <v>0</v>
      </c>
      <c r="AA89" s="19">
        <v>0</v>
      </c>
      <c r="AB89" s="19">
        <v>0.9</v>
      </c>
      <c r="AC89" s="19">
        <v>0</v>
      </c>
      <c r="AD89" s="19">
        <v>0</v>
      </c>
      <c r="AE89" s="19">
        <f>SUM(tbSabana2016[[#This Row],[Arbolado Adulto (HA)]:[Suelo Orgánico (HA)]])</f>
        <v>0.9</v>
      </c>
      <c r="AF89" s="9">
        <f t="shared" si="61"/>
        <v>520.4599999999997</v>
      </c>
      <c r="AG89" s="9">
        <f>tbSabana2016[[#This Row],[Acumulado (HA)]]/tbSabana2016[[#This Row],[Incendio en el AÑO]]</f>
        <v>6.1230588235294086</v>
      </c>
      <c r="AH89" s="2" t="s">
        <v>147</v>
      </c>
      <c r="AI89" s="2" t="s">
        <v>283</v>
      </c>
      <c r="AJ89" s="2" t="s">
        <v>134</v>
      </c>
      <c r="AK89" s="2" t="s">
        <v>200</v>
      </c>
      <c r="AL89" s="2" t="s">
        <v>150</v>
      </c>
      <c r="AM89" s="2" t="s">
        <v>151</v>
      </c>
      <c r="AN89" s="32">
        <v>43549.597222222219</v>
      </c>
      <c r="AO89" s="32">
        <v>43549.600694444445</v>
      </c>
      <c r="AP89" s="32">
        <v>43549.604166666664</v>
      </c>
      <c r="AQ89" s="32" t="s">
        <v>519</v>
      </c>
      <c r="AR89" s="32">
        <v>43549.663194444445</v>
      </c>
      <c r="AS89" s="32"/>
      <c r="AT89" s="32">
        <v>43549.697916666664</v>
      </c>
      <c r="AU89" s="32">
        <v>43549.708333333336</v>
      </c>
      <c r="AV89" s="32">
        <v>43549.75</v>
      </c>
      <c r="AW89" s="40">
        <v>0.1111111111111111</v>
      </c>
      <c r="AX89" s="39">
        <v>3.472222222222222E-3</v>
      </c>
      <c r="AY89" s="39">
        <v>5.9027777777777783E-2</v>
      </c>
      <c r="AZ89" s="40">
        <f>SUM(tbSabana2016[[#This Row],[Duración]])</f>
        <v>0.1111111111111111</v>
      </c>
      <c r="BA89" s="2">
        <v>0.3</v>
      </c>
      <c r="BB89" s="2">
        <v>0.2</v>
      </c>
      <c r="BC89" s="2">
        <v>0</v>
      </c>
      <c r="BD89" s="2">
        <v>0</v>
      </c>
      <c r="BE89" s="2">
        <v>0.1</v>
      </c>
      <c r="BF89" s="2">
        <v>0</v>
      </c>
      <c r="BG89" s="2">
        <v>0</v>
      </c>
      <c r="BH89" s="2">
        <v>0</v>
      </c>
      <c r="BI89" s="2">
        <v>0</v>
      </c>
      <c r="BJ89" s="2" t="s">
        <v>242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 t="s">
        <v>243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7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3">
        <f t="shared" si="63"/>
        <v>7</v>
      </c>
      <c r="CO89" s="10">
        <f t="shared" si="62"/>
        <v>1018</v>
      </c>
      <c r="CP89" s="10">
        <f t="shared" si="64"/>
        <v>7</v>
      </c>
      <c r="CQ89" s="24">
        <f>SUM(tbSabana2016[[#This Row],[Voluntarios]])</f>
        <v>0</v>
      </c>
      <c r="CR89" s="8">
        <f>tbSabana2016[[#This Row],[CONAFOR (Oficiales)]]*383</f>
        <v>0</v>
      </c>
      <c r="CS89" s="8">
        <f>(tbSabana2016[[#This Row],[Total (Oficiales)]]-tbSabana2016[[#This Row],[CONAFOR (Oficiales)]])*217</f>
        <v>1519</v>
      </c>
      <c r="CT89" s="8">
        <f>SUM(tbSabana2016[[#This Row],[Costo CONAFOR]:[Costo Otros]])</f>
        <v>1519</v>
      </c>
      <c r="CU89" s="8">
        <v>254.53</v>
      </c>
      <c r="CV89" s="8">
        <f t="shared" si="65"/>
        <v>1773.53</v>
      </c>
      <c r="CW89" s="2" t="s">
        <v>154</v>
      </c>
      <c r="CX89" s="2" t="s">
        <v>154</v>
      </c>
      <c r="CY89" s="69" t="s">
        <v>154</v>
      </c>
      <c r="CZ89" s="2" t="s">
        <v>154</v>
      </c>
      <c r="DA89" s="2" t="s">
        <v>172</v>
      </c>
      <c r="DB89" s="2" t="s">
        <v>155</v>
      </c>
      <c r="DC89" s="2" t="s">
        <v>168</v>
      </c>
      <c r="DD89" s="2" t="s">
        <v>169</v>
      </c>
      <c r="DE89" s="2" t="s">
        <v>267</v>
      </c>
      <c r="DF89" s="2" t="s">
        <v>159</v>
      </c>
      <c r="DG89" s="2" t="s">
        <v>268</v>
      </c>
      <c r="DH89" s="2">
        <v>0</v>
      </c>
      <c r="DI89" s="2">
        <v>0</v>
      </c>
      <c r="DJ89" s="2">
        <v>0</v>
      </c>
      <c r="DK89" s="2">
        <v>0.9</v>
      </c>
      <c r="DL89" s="2">
        <v>0</v>
      </c>
      <c r="DM89" s="2">
        <v>0</v>
      </c>
      <c r="DN89" s="2">
        <f t="shared" si="66"/>
        <v>0.9</v>
      </c>
    </row>
    <row r="90" spans="1:118" x14ac:dyDescent="0.25">
      <c r="A90" s="2" t="s">
        <v>523</v>
      </c>
      <c r="B90" s="25">
        <v>86</v>
      </c>
      <c r="C90" s="35">
        <v>43550</v>
      </c>
      <c r="D90" s="35">
        <v>43550</v>
      </c>
      <c r="E9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0" s="2">
        <v>80</v>
      </c>
      <c r="G90" s="2">
        <v>1</v>
      </c>
      <c r="H90" s="47">
        <f>WEEKNUM(tbSabana2016[[#This Row],[Fecha de Inicio]],15)</f>
        <v>13</v>
      </c>
      <c r="I90" s="36" t="str">
        <f>TEXT(tbSabana2016[[#This Row],[Fecha de Inicio]],"dddd")</f>
        <v>martes</v>
      </c>
      <c r="J90" s="36" t="str">
        <f>TEXT(tbSabana2016[[#This Row],[Fecha de Inicio]],"mmmm")</f>
        <v>marzo</v>
      </c>
      <c r="K90" s="37" t="s">
        <v>143</v>
      </c>
      <c r="L90" s="23">
        <v>9</v>
      </c>
      <c r="M90" s="38" t="s">
        <v>144</v>
      </c>
      <c r="N90" s="38" t="s">
        <v>477</v>
      </c>
      <c r="O90" s="38" t="s">
        <v>274</v>
      </c>
      <c r="P90" s="38"/>
      <c r="Q90" s="47">
        <v>19</v>
      </c>
      <c r="R90" s="102">
        <v>2</v>
      </c>
      <c r="S90" s="105">
        <v>40.630000000000003</v>
      </c>
      <c r="T90" s="102">
        <v>99</v>
      </c>
      <c r="U90" s="102">
        <v>11</v>
      </c>
      <c r="V90" s="105">
        <v>17.02</v>
      </c>
      <c r="W9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40.63'' W 99° 11' 17.02''</v>
      </c>
      <c r="X90" s="44">
        <v>2782</v>
      </c>
      <c r="Y90" s="19">
        <v>0</v>
      </c>
      <c r="Z90" s="19">
        <v>0</v>
      </c>
      <c r="AA90" s="19">
        <v>0</v>
      </c>
      <c r="AB90" s="19">
        <v>0.5</v>
      </c>
      <c r="AC90" s="19">
        <v>0.5</v>
      </c>
      <c r="AD90" s="19">
        <v>0.97</v>
      </c>
      <c r="AE90" s="19">
        <f>SUM(tbSabana2016[[#This Row],[Arbolado Adulto (HA)]:[Suelo Orgánico (HA)]])</f>
        <v>1.97</v>
      </c>
      <c r="AF90" s="9">
        <f>SUM(AF89,AE90)</f>
        <v>522.42999999999972</v>
      </c>
      <c r="AG90" s="9">
        <f>tbSabana2016[[#This Row],[Acumulado (HA)]]/tbSabana2016[[#This Row],[Incendio en el AÑO]]</f>
        <v>6.0747674418604616</v>
      </c>
      <c r="AH90" s="2" t="s">
        <v>147</v>
      </c>
      <c r="AI90" s="2" t="s">
        <v>165</v>
      </c>
      <c r="AJ90" s="2" t="s">
        <v>139</v>
      </c>
      <c r="AK90" s="2" t="s">
        <v>166</v>
      </c>
      <c r="AL90" s="2" t="s">
        <v>150</v>
      </c>
      <c r="AM90" s="2" t="s">
        <v>205</v>
      </c>
      <c r="AN90" s="32">
        <v>43550.340277777781</v>
      </c>
      <c r="AO90" s="32">
        <v>43550.34375</v>
      </c>
      <c r="AP90" s="32">
        <v>43550.347222222219</v>
      </c>
      <c r="AQ90" s="32">
        <v>43550.388888888891</v>
      </c>
      <c r="AR90" s="32">
        <v>43550.392361111109</v>
      </c>
      <c r="AS90" s="32"/>
      <c r="AT90" s="32">
        <v>43550.5</v>
      </c>
      <c r="AU90" s="32">
        <v>43550.576388888891</v>
      </c>
      <c r="AV90" s="32"/>
      <c r="AW90" s="40">
        <v>0.23611111111111113</v>
      </c>
      <c r="AX90" s="39">
        <v>3.472222222222222E-3</v>
      </c>
      <c r="AY90" s="39">
        <v>4.5138888888888888E-2</v>
      </c>
      <c r="AZ90" s="40">
        <f>SUM(tbSabana2016[[#This Row],[Duración]])</f>
        <v>0.23611111111111113</v>
      </c>
      <c r="BA90" s="2">
        <v>0.5</v>
      </c>
      <c r="BB90" s="2">
        <v>0.6</v>
      </c>
      <c r="BC90" s="2">
        <v>0</v>
      </c>
      <c r="BD90" s="2">
        <v>0</v>
      </c>
      <c r="BE90" s="2">
        <v>0.3</v>
      </c>
      <c r="BF90" s="2">
        <v>0</v>
      </c>
      <c r="BG90" s="2">
        <v>0</v>
      </c>
      <c r="BH90" s="2">
        <v>0.8</v>
      </c>
      <c r="BI90" s="2">
        <v>0</v>
      </c>
      <c r="BJ90" s="2" t="s">
        <v>206</v>
      </c>
      <c r="BK90" s="2">
        <v>0</v>
      </c>
      <c r="BL90" s="2">
        <v>0</v>
      </c>
      <c r="BM90" s="2">
        <v>1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 t="s">
        <v>46</v>
      </c>
      <c r="BT90" s="2">
        <v>9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15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3">
        <f t="shared" si="63"/>
        <v>24</v>
      </c>
      <c r="CO90" s="10">
        <f t="shared" si="62"/>
        <v>1042</v>
      </c>
      <c r="CP90" s="10">
        <f t="shared" si="64"/>
        <v>9</v>
      </c>
      <c r="CQ90" s="24">
        <f>SUM(tbSabana2016[[#This Row],[Voluntarios]])</f>
        <v>15</v>
      </c>
      <c r="CR90" s="8">
        <f>tbSabana2016[[#This Row],[CONAFOR (Oficiales)]]*383</f>
        <v>3447</v>
      </c>
      <c r="CS90" s="8">
        <f>(tbSabana2016[[#This Row],[Total (Oficiales)]]-tbSabana2016[[#This Row],[CONAFOR (Oficiales)]])*217</f>
        <v>3255</v>
      </c>
      <c r="CT90" s="8">
        <f>SUM(tbSabana2016[[#This Row],[Costo CONAFOR]:[Costo Otros]])</f>
        <v>6702</v>
      </c>
      <c r="CU90" s="8">
        <v>228</v>
      </c>
      <c r="CV90" s="8">
        <f t="shared" si="65"/>
        <v>6930</v>
      </c>
      <c r="CW90" s="2" t="s">
        <v>154</v>
      </c>
      <c r="CX90" s="2" t="s">
        <v>154</v>
      </c>
      <c r="CY90" s="69" t="s">
        <v>154</v>
      </c>
      <c r="CZ90" s="2" t="s">
        <v>154</v>
      </c>
      <c r="DA90" s="2" t="s">
        <v>457</v>
      </c>
      <c r="DB90" s="2" t="s">
        <v>155</v>
      </c>
      <c r="DC90" s="2" t="s">
        <v>256</v>
      </c>
      <c r="DD90" s="2" t="s">
        <v>257</v>
      </c>
      <c r="DE90" s="2" t="s">
        <v>158</v>
      </c>
      <c r="DF90" s="2" t="s">
        <v>159</v>
      </c>
      <c r="DG90" s="2" t="s">
        <v>160</v>
      </c>
      <c r="DH90" s="2">
        <v>0</v>
      </c>
      <c r="DI90" s="2">
        <v>0</v>
      </c>
      <c r="DJ90" s="2">
        <v>0</v>
      </c>
      <c r="DK90" s="2">
        <v>0.5</v>
      </c>
      <c r="DL90" s="2">
        <v>0.5</v>
      </c>
      <c r="DM90" s="2">
        <v>0.97</v>
      </c>
      <c r="DN90" s="2">
        <f t="shared" si="66"/>
        <v>1.97</v>
      </c>
    </row>
    <row r="91" spans="1:118" x14ac:dyDescent="0.25">
      <c r="A91" s="2" t="s">
        <v>524</v>
      </c>
      <c r="B91" s="25">
        <v>87</v>
      </c>
      <c r="C91" s="35">
        <v>43550</v>
      </c>
      <c r="D91" s="35">
        <v>43550</v>
      </c>
      <c r="E9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1" s="2">
        <v>81</v>
      </c>
      <c r="G91" s="2">
        <v>1</v>
      </c>
      <c r="H91" s="47">
        <f>WEEKNUM(tbSabana2016[[#This Row],[Fecha de Inicio]],15)</f>
        <v>13</v>
      </c>
      <c r="I91" s="36" t="str">
        <f>TEXT(tbSabana2016[[#This Row],[Fecha de Inicio]],"dddd")</f>
        <v>martes</v>
      </c>
      <c r="J91" s="36" t="str">
        <f>TEXT(tbSabana2016[[#This Row],[Fecha de Inicio]],"mmmm")</f>
        <v>marzo</v>
      </c>
      <c r="K91" s="37" t="s">
        <v>143</v>
      </c>
      <c r="L91" s="23">
        <v>20</v>
      </c>
      <c r="M91" s="38" t="s">
        <v>162</v>
      </c>
      <c r="N91" s="38" t="s">
        <v>163</v>
      </c>
      <c r="O91" s="38" t="s">
        <v>312</v>
      </c>
      <c r="P91" s="38"/>
      <c r="Q91" s="47">
        <v>18</v>
      </c>
      <c r="R91" s="102">
        <v>57</v>
      </c>
      <c r="S91" s="105">
        <v>19.21</v>
      </c>
      <c r="T91" s="102">
        <v>99</v>
      </c>
      <c r="U91" s="102">
        <v>10</v>
      </c>
      <c r="V91" s="105">
        <v>19</v>
      </c>
      <c r="W9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19.21'' W 99° 10' 19.00''</v>
      </c>
      <c r="X91" s="44">
        <v>1620</v>
      </c>
      <c r="Y91" s="19">
        <v>0</v>
      </c>
      <c r="Z91" s="19">
        <v>0</v>
      </c>
      <c r="AA91" s="19">
        <v>3</v>
      </c>
      <c r="AB91" s="19">
        <v>4.37</v>
      </c>
      <c r="AC91" s="19">
        <v>0</v>
      </c>
      <c r="AD91" s="19">
        <v>0</v>
      </c>
      <c r="AE91" s="19">
        <f>SUM(tbSabana2016[[#This Row],[Arbolado Adulto (HA)]:[Suelo Orgánico (HA)]])</f>
        <v>7.37</v>
      </c>
      <c r="AF91" s="9">
        <f>SUM(AF90,AE91)</f>
        <v>529.79999999999973</v>
      </c>
      <c r="AG91" s="9">
        <f>tbSabana2016[[#This Row],[Acumulado (HA)]]/tbSabana2016[[#This Row],[Incendio en el AÑO]]</f>
        <v>6.0896551724137904</v>
      </c>
      <c r="AH91" s="2" t="s">
        <v>147</v>
      </c>
      <c r="AI91" s="2" t="s">
        <v>165</v>
      </c>
      <c r="AJ91" s="2" t="s">
        <v>135</v>
      </c>
      <c r="AK91" s="2" t="s">
        <v>175</v>
      </c>
      <c r="AL91" s="2" t="s">
        <v>150</v>
      </c>
      <c r="AM91" s="2" t="s">
        <v>151</v>
      </c>
      <c r="AN91" s="32">
        <v>43550.569444444445</v>
      </c>
      <c r="AO91" s="32">
        <v>43550.572916666664</v>
      </c>
      <c r="AP91" s="32">
        <v>43550.576388888891</v>
      </c>
      <c r="AQ91" s="32">
        <v>43550.618055555555</v>
      </c>
      <c r="AR91" s="32">
        <v>43550.621527777781</v>
      </c>
      <c r="AS91" s="32"/>
      <c r="AT91" s="32">
        <v>43550.75</v>
      </c>
      <c r="AU91" s="32">
        <v>43550.833333333336</v>
      </c>
      <c r="AV91" s="32">
        <v>43550.875</v>
      </c>
      <c r="AW91" s="40">
        <v>0.2638888888888889</v>
      </c>
      <c r="AX91" s="39">
        <v>3.472222222222222E-3</v>
      </c>
      <c r="AY91" s="39">
        <v>4.5138888888888888E-2</v>
      </c>
      <c r="AZ91" s="40">
        <f>SUM(tbSabana2016[[#This Row],[Duración]])</f>
        <v>0.2638888888888889</v>
      </c>
      <c r="BA91" s="2">
        <v>0.8</v>
      </c>
      <c r="BB91" s="2">
        <v>0.6</v>
      </c>
      <c r="BC91" s="2">
        <v>0</v>
      </c>
      <c r="BD91" s="2">
        <v>0</v>
      </c>
      <c r="BE91" s="2">
        <v>0.3</v>
      </c>
      <c r="BF91" s="2">
        <v>0</v>
      </c>
      <c r="BG91" s="2">
        <v>0</v>
      </c>
      <c r="BH91" s="2">
        <v>0.9</v>
      </c>
      <c r="BI91" s="2">
        <v>0</v>
      </c>
      <c r="BJ91" s="2" t="s">
        <v>206</v>
      </c>
      <c r="BK91" s="2">
        <v>0</v>
      </c>
      <c r="BL91" s="2">
        <v>0</v>
      </c>
      <c r="BM91" s="2">
        <v>1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T91" s="2">
        <v>9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3">
        <f t="shared" si="63"/>
        <v>9</v>
      </c>
      <c r="CO91" s="10">
        <f t="shared" si="62"/>
        <v>1051</v>
      </c>
      <c r="CP91" s="10">
        <f t="shared" si="64"/>
        <v>9</v>
      </c>
      <c r="CQ91" s="24">
        <f>SUM(tbSabana2016[[#This Row],[Voluntarios]])</f>
        <v>0</v>
      </c>
      <c r="CR91" s="8">
        <f>tbSabana2016[[#This Row],[CONAFOR (Oficiales)]]*383</f>
        <v>3447</v>
      </c>
      <c r="CS91" s="8">
        <f>(tbSabana2016[[#This Row],[Total (Oficiales)]]-tbSabana2016[[#This Row],[CONAFOR (Oficiales)]])*217</f>
        <v>0</v>
      </c>
      <c r="CT91" s="8">
        <f>SUM(tbSabana2016[[#This Row],[Costo CONAFOR]:[Costo Otros]])</f>
        <v>3447</v>
      </c>
      <c r="CU91" s="8">
        <v>228</v>
      </c>
      <c r="CV91" s="8">
        <f t="shared" si="65"/>
        <v>3675</v>
      </c>
      <c r="CW91" s="2" t="s">
        <v>154</v>
      </c>
      <c r="CX91" s="2" t="s">
        <v>154</v>
      </c>
      <c r="CY91" s="69" t="s">
        <v>154</v>
      </c>
      <c r="CZ91" s="2" t="s">
        <v>154</v>
      </c>
      <c r="DA91" s="2" t="s">
        <v>172</v>
      </c>
      <c r="DB91" s="2" t="s">
        <v>155</v>
      </c>
      <c r="DC91" s="2" t="s">
        <v>168</v>
      </c>
      <c r="DD91" s="2" t="s">
        <v>169</v>
      </c>
      <c r="DE91" s="2" t="s">
        <v>170</v>
      </c>
      <c r="DF91" s="2" t="s">
        <v>159</v>
      </c>
      <c r="DG91" s="2" t="s">
        <v>475</v>
      </c>
      <c r="DH91" s="2">
        <v>0</v>
      </c>
      <c r="DI91" s="2">
        <v>0</v>
      </c>
      <c r="DJ91" s="2">
        <v>3</v>
      </c>
      <c r="DK91" s="2">
        <v>4.37</v>
      </c>
      <c r="DL91" s="2">
        <v>0</v>
      </c>
      <c r="DM91" s="2">
        <v>0</v>
      </c>
      <c r="DN91" s="2">
        <f t="shared" si="66"/>
        <v>7.37</v>
      </c>
    </row>
    <row r="92" spans="1:118" x14ac:dyDescent="0.25">
      <c r="A92" s="2" t="s">
        <v>525</v>
      </c>
      <c r="B92" s="25">
        <v>88</v>
      </c>
      <c r="C92" s="35">
        <v>43550</v>
      </c>
      <c r="D92" s="35">
        <v>43551</v>
      </c>
      <c r="E92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92" s="2">
        <v>82</v>
      </c>
      <c r="G92" s="2">
        <v>1</v>
      </c>
      <c r="H92" s="47">
        <f>WEEKNUM(tbSabana2016[[#This Row],[Fecha de Inicio]],15)</f>
        <v>13</v>
      </c>
      <c r="I92" s="36" t="str">
        <f>TEXT(tbSabana2016[[#This Row],[Fecha de Inicio]],"dddd")</f>
        <v>martes</v>
      </c>
      <c r="J92" s="36" t="str">
        <f>TEXT(tbSabana2016[[#This Row],[Fecha de Inicio]],"mmmm")</f>
        <v>marzo</v>
      </c>
      <c r="K92" s="37" t="s">
        <v>143</v>
      </c>
      <c r="L92" s="23">
        <v>23</v>
      </c>
      <c r="M92" s="38" t="s">
        <v>123</v>
      </c>
      <c r="N92" s="38" t="s">
        <v>123</v>
      </c>
      <c r="O92" s="38" t="s">
        <v>528</v>
      </c>
      <c r="P92" s="38"/>
      <c r="Q92" s="47">
        <v>19</v>
      </c>
      <c r="R92" s="102">
        <v>3</v>
      </c>
      <c r="S92" s="105">
        <v>42.87</v>
      </c>
      <c r="T92" s="102">
        <v>99</v>
      </c>
      <c r="U92" s="102">
        <v>1</v>
      </c>
      <c r="V92" s="105">
        <v>35.200000000000003</v>
      </c>
      <c r="W9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42.87'' W 99° 01' 35.20''</v>
      </c>
      <c r="X92" s="44">
        <v>3115</v>
      </c>
      <c r="Y92" s="19">
        <v>0</v>
      </c>
      <c r="Z92" s="19">
        <v>0</v>
      </c>
      <c r="AA92" s="19">
        <v>23.04</v>
      </c>
      <c r="AB92" s="19">
        <v>50</v>
      </c>
      <c r="AC92" s="19">
        <v>10</v>
      </c>
      <c r="AD92" s="19">
        <v>0</v>
      </c>
      <c r="AE92" s="19">
        <f>SUM(tbSabana2016[[#This Row],[Arbolado Adulto (HA)]:[Suelo Orgánico (HA)]])</f>
        <v>83.039999999999992</v>
      </c>
      <c r="AF92" s="9">
        <f>SUM(AF91,AE92)</f>
        <v>612.83999999999969</v>
      </c>
      <c r="AG92" s="9">
        <f>tbSabana2016[[#This Row],[Acumulado (HA)]]/tbSabana2016[[#This Row],[Incendio en el AÑO]]</f>
        <v>6.9640909090909053</v>
      </c>
      <c r="AH92" s="2" t="s">
        <v>147</v>
      </c>
      <c r="AI92" s="2" t="s">
        <v>283</v>
      </c>
      <c r="AJ92" s="2" t="s">
        <v>133</v>
      </c>
      <c r="AK92" s="2" t="s">
        <v>149</v>
      </c>
      <c r="AL92" s="2" t="s">
        <v>150</v>
      </c>
      <c r="AM92" s="2" t="s">
        <v>151</v>
      </c>
      <c r="AN92" s="32">
        <v>43550.35833333333</v>
      </c>
      <c r="AO92" s="32">
        <v>43550.361111111109</v>
      </c>
      <c r="AP92" s="32">
        <v>43550.368055555555</v>
      </c>
      <c r="AQ92" s="32">
        <v>43550.388888888891</v>
      </c>
      <c r="AR92" s="32">
        <v>43550.392361111109</v>
      </c>
      <c r="AS92" s="32">
        <v>43550.520833333336</v>
      </c>
      <c r="AT92" s="32">
        <v>43551.583333333336</v>
      </c>
      <c r="AU92" s="32">
        <v>43551.708333333336</v>
      </c>
      <c r="AV92" s="32">
        <v>43551.824999999997</v>
      </c>
      <c r="AW92" s="40">
        <v>1.3499999999999999</v>
      </c>
      <c r="AX92" s="39">
        <v>2.7777777777777779E-3</v>
      </c>
      <c r="AY92" s="39">
        <v>2.7777777777777776E-2</v>
      </c>
      <c r="AZ92" s="40">
        <f>SUM(tbSabana2016[[#This Row],[Duración]])</f>
        <v>1.3499999999999999</v>
      </c>
      <c r="BA92" s="2">
        <v>2</v>
      </c>
      <c r="BB92" s="2">
        <v>5</v>
      </c>
      <c r="BC92" s="2">
        <v>0</v>
      </c>
      <c r="BD92" s="2">
        <v>0</v>
      </c>
      <c r="BE92" s="2">
        <v>2</v>
      </c>
      <c r="BF92" s="2">
        <v>0</v>
      </c>
      <c r="BG92" s="2">
        <v>0</v>
      </c>
      <c r="BH92" s="2">
        <v>6</v>
      </c>
      <c r="BI92" s="2">
        <v>0</v>
      </c>
      <c r="BJ92" s="2" t="s">
        <v>242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 t="s">
        <v>529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20</v>
      </c>
      <c r="BZ92" s="2">
        <v>0</v>
      </c>
      <c r="CA92" s="2">
        <v>0</v>
      </c>
      <c r="CB92" s="2">
        <v>0</v>
      </c>
      <c r="CC92" s="2">
        <v>0</v>
      </c>
      <c r="CD92" s="2">
        <v>16</v>
      </c>
      <c r="CE92" s="2">
        <v>0</v>
      </c>
      <c r="CF92" s="2">
        <v>0</v>
      </c>
      <c r="CG92" s="2">
        <v>0</v>
      </c>
      <c r="CH92" s="2">
        <v>3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3">
        <f t="shared" si="63"/>
        <v>39</v>
      </c>
      <c r="CO92" s="10">
        <f t="shared" si="62"/>
        <v>1090</v>
      </c>
      <c r="CP92" s="10">
        <f t="shared" si="64"/>
        <v>36</v>
      </c>
      <c r="CQ92" s="24">
        <f>SUM(tbSabana2016[[#This Row],[Voluntarios]])</f>
        <v>3</v>
      </c>
      <c r="CR92" s="8">
        <f>tbSabana2016[[#This Row],[CONAFOR (Oficiales)]]*383</f>
        <v>0</v>
      </c>
      <c r="CS92" s="8">
        <f>(tbSabana2016[[#This Row],[Total (Oficiales)]]-tbSabana2016[[#This Row],[CONAFOR (Oficiales)]])*217</f>
        <v>8463</v>
      </c>
      <c r="CT92" s="8">
        <f>SUM(tbSabana2016[[#This Row],[Costo CONAFOR]:[Costo Otros]])</f>
        <v>8463</v>
      </c>
      <c r="CU92" s="8">
        <v>1520</v>
      </c>
      <c r="CV92" s="8">
        <f t="shared" si="65"/>
        <v>9983</v>
      </c>
      <c r="CW92" s="2" t="s">
        <v>154</v>
      </c>
      <c r="CX92" s="2" t="s">
        <v>154</v>
      </c>
      <c r="CY92" s="69" t="s">
        <v>154</v>
      </c>
      <c r="CZ92" s="2" t="s">
        <v>154</v>
      </c>
      <c r="DA92" s="2" t="s">
        <v>172</v>
      </c>
      <c r="DB92" s="2" t="s">
        <v>155</v>
      </c>
      <c r="DC92" s="2" t="s">
        <v>156</v>
      </c>
      <c r="DD92" s="2" t="s">
        <v>157</v>
      </c>
      <c r="DE92" s="2" t="s">
        <v>158</v>
      </c>
      <c r="DF92" s="2" t="s">
        <v>159</v>
      </c>
      <c r="DG92" s="2" t="s">
        <v>160</v>
      </c>
      <c r="DH92" s="2">
        <v>0</v>
      </c>
      <c r="DI92" s="2">
        <v>0</v>
      </c>
      <c r="DJ92" s="2">
        <v>23.04</v>
      </c>
      <c r="DK92" s="2">
        <v>50</v>
      </c>
      <c r="DL92" s="2">
        <v>10</v>
      </c>
      <c r="DM92" s="2">
        <v>0</v>
      </c>
      <c r="DN92" s="2">
        <f t="shared" si="66"/>
        <v>83.039999999999992</v>
      </c>
    </row>
    <row r="93" spans="1:118" x14ac:dyDescent="0.25">
      <c r="A93" s="2" t="s">
        <v>526</v>
      </c>
      <c r="B93" s="25">
        <v>89</v>
      </c>
      <c r="C93" s="35">
        <v>43551</v>
      </c>
      <c r="D93" s="35">
        <v>43551</v>
      </c>
      <c r="E9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3" s="2">
        <v>83</v>
      </c>
      <c r="G93" s="2">
        <v>1</v>
      </c>
      <c r="H93" s="47">
        <f>WEEKNUM(tbSabana2016[[#This Row],[Fecha de Inicio]],15)</f>
        <v>13</v>
      </c>
      <c r="I93" s="36" t="str">
        <f>TEXT(tbSabana2016[[#This Row],[Fecha de Inicio]],"dddd")</f>
        <v>miércoles</v>
      </c>
      <c r="J93" s="36" t="str">
        <f>TEXT(tbSabana2016[[#This Row],[Fecha de Inicio]],"mmmm")</f>
        <v>marzo</v>
      </c>
      <c r="K93" s="37" t="s">
        <v>143</v>
      </c>
      <c r="L93" s="23">
        <v>7</v>
      </c>
      <c r="M93" s="38" t="s">
        <v>405</v>
      </c>
      <c r="N93" s="38" t="s">
        <v>530</v>
      </c>
      <c r="O93" s="38" t="s">
        <v>531</v>
      </c>
      <c r="P93" s="38"/>
      <c r="Q93" s="47">
        <v>18</v>
      </c>
      <c r="R93" s="102">
        <v>59</v>
      </c>
      <c r="S93" s="105">
        <v>18.8</v>
      </c>
      <c r="T93" s="102">
        <v>99</v>
      </c>
      <c r="U93" s="102">
        <v>17</v>
      </c>
      <c r="V93" s="105">
        <v>11.37</v>
      </c>
      <c r="W9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18.80'' W 99° 17' 11.37''</v>
      </c>
      <c r="X93" s="44">
        <v>2190</v>
      </c>
      <c r="Y93" s="19">
        <v>0</v>
      </c>
      <c r="Z93" s="19">
        <v>0</v>
      </c>
      <c r="AA93" s="19">
        <v>0.39</v>
      </c>
      <c r="AB93" s="19">
        <v>0</v>
      </c>
      <c r="AC93" s="19">
        <v>1</v>
      </c>
      <c r="AD93" s="19">
        <v>0</v>
      </c>
      <c r="AE93" s="19">
        <f>SUM(tbSabana2016[[#This Row],[Arbolado Adulto (HA)]:[Suelo Orgánico (HA)]])</f>
        <v>1.3900000000000001</v>
      </c>
      <c r="AF93" s="9">
        <f>SUM(AF92,AE93)</f>
        <v>614.22999999999968</v>
      </c>
      <c r="AG93" s="9">
        <f>tbSabana2016[[#This Row],[Acumulado (HA)]]/tbSabana2016[[#This Row],[Incendio en el AÑO]]</f>
        <v>6.9014606741572999</v>
      </c>
      <c r="AH93" s="2" t="s">
        <v>147</v>
      </c>
      <c r="AI93" s="2" t="s">
        <v>165</v>
      </c>
      <c r="AJ93" s="2" t="s">
        <v>276</v>
      </c>
      <c r="AK93" s="2" t="s">
        <v>277</v>
      </c>
      <c r="AL93" s="2" t="s">
        <v>150</v>
      </c>
      <c r="AM93" s="2" t="s">
        <v>151</v>
      </c>
      <c r="AN93" s="32">
        <v>43551.333333333336</v>
      </c>
      <c r="AO93" s="32">
        <v>43551.336805555555</v>
      </c>
      <c r="AP93" s="32">
        <v>43551.361111111109</v>
      </c>
      <c r="AQ93" s="32">
        <v>43551.416666666664</v>
      </c>
      <c r="AR93" s="32">
        <v>43551.451388888891</v>
      </c>
      <c r="AS93" s="32"/>
      <c r="AT93" s="32">
        <v>43551.5</v>
      </c>
      <c r="AU93" s="32">
        <v>43551.534722222219</v>
      </c>
      <c r="AV93" s="32"/>
      <c r="AW93" s="40">
        <v>0.20138888888888887</v>
      </c>
      <c r="AX93" s="39">
        <v>3.472222222222222E-3</v>
      </c>
      <c r="AY93" s="39">
        <v>7.9861111111111105E-2</v>
      </c>
      <c r="AZ93" s="40">
        <f>SUM(tbSabana2016[[#This Row],[Duración]])</f>
        <v>0.20138888888888887</v>
      </c>
      <c r="BA93" s="2">
        <v>0.9</v>
      </c>
      <c r="BB93" s="2">
        <v>0.4</v>
      </c>
      <c r="BC93" s="2">
        <v>0</v>
      </c>
      <c r="BD93" s="2">
        <v>0.3</v>
      </c>
      <c r="BE93" s="2">
        <v>0</v>
      </c>
      <c r="BF93" s="2">
        <v>0</v>
      </c>
      <c r="BG93" s="2">
        <v>0.5</v>
      </c>
      <c r="BH93" s="2">
        <v>0</v>
      </c>
      <c r="BI93" s="2">
        <v>0</v>
      </c>
      <c r="BJ93" s="2" t="s">
        <v>329</v>
      </c>
      <c r="BK93" s="2">
        <v>1</v>
      </c>
      <c r="BL93" s="2">
        <v>0</v>
      </c>
      <c r="BM93" s="2">
        <v>0</v>
      </c>
      <c r="BN93" s="2">
        <v>1</v>
      </c>
      <c r="BO93" s="2">
        <v>0</v>
      </c>
      <c r="BP93" s="2">
        <v>0</v>
      </c>
      <c r="BQ93" s="2">
        <v>0</v>
      </c>
      <c r="BR93" s="2">
        <v>0</v>
      </c>
      <c r="BS93" s="2" t="s">
        <v>46</v>
      </c>
      <c r="BT93" s="2">
        <v>10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15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3">
        <f t="shared" si="63"/>
        <v>25</v>
      </c>
      <c r="CO93" s="10">
        <f t="shared" si="62"/>
        <v>1115</v>
      </c>
      <c r="CP93" s="10">
        <f t="shared" si="64"/>
        <v>10</v>
      </c>
      <c r="CQ93" s="24">
        <f>SUM(tbSabana2016[[#This Row],[Voluntarios]])</f>
        <v>15</v>
      </c>
      <c r="CR93" s="8">
        <f>tbSabana2016[[#This Row],[CONAFOR (Oficiales)]]*383</f>
        <v>3830</v>
      </c>
      <c r="CS93" s="8">
        <f>(tbSabana2016[[#This Row],[Total (Oficiales)]]-tbSabana2016[[#This Row],[CONAFOR (Oficiales)]])*217</f>
        <v>3255</v>
      </c>
      <c r="CT93" s="8">
        <f>SUM(tbSabana2016[[#This Row],[Costo CONAFOR]:[Costo Otros]])</f>
        <v>7085</v>
      </c>
      <c r="CU93" s="8">
        <v>266</v>
      </c>
      <c r="CV93" s="8">
        <f t="shared" si="65"/>
        <v>7351</v>
      </c>
      <c r="CW93" s="2" t="s">
        <v>154</v>
      </c>
      <c r="CX93" s="2" t="s">
        <v>154</v>
      </c>
      <c r="CY93" s="69" t="s">
        <v>154</v>
      </c>
      <c r="CZ93" s="2" t="s">
        <v>154</v>
      </c>
      <c r="DA93" s="2" t="s">
        <v>172</v>
      </c>
      <c r="DB93" s="2" t="s">
        <v>155</v>
      </c>
      <c r="DC93" s="2" t="s">
        <v>278</v>
      </c>
      <c r="DD93" s="2" t="s">
        <v>279</v>
      </c>
      <c r="DE93" s="2" t="s">
        <v>158</v>
      </c>
      <c r="DF93" s="2" t="s">
        <v>159</v>
      </c>
      <c r="DG93" s="2" t="s">
        <v>160</v>
      </c>
      <c r="DH93" s="2">
        <v>0</v>
      </c>
      <c r="DI93" s="2">
        <v>0</v>
      </c>
      <c r="DJ93" s="2">
        <v>0.39</v>
      </c>
      <c r="DK93" s="2">
        <v>0</v>
      </c>
      <c r="DL93" s="2">
        <v>1</v>
      </c>
      <c r="DM93" s="2">
        <v>0</v>
      </c>
      <c r="DN93" s="2">
        <f t="shared" si="66"/>
        <v>1.3900000000000001</v>
      </c>
    </row>
    <row r="94" spans="1:118" x14ac:dyDescent="0.25">
      <c r="A94" s="2" t="s">
        <v>527</v>
      </c>
      <c r="B94" s="25">
        <v>90</v>
      </c>
      <c r="C94" s="35">
        <v>43551</v>
      </c>
      <c r="D94" s="35">
        <v>43551</v>
      </c>
      <c r="E9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4" s="2">
        <v>84</v>
      </c>
      <c r="G94" s="2">
        <v>1</v>
      </c>
      <c r="H94" s="47">
        <f>WEEKNUM(tbSabana2016[[#This Row],[Fecha de Inicio]],15)</f>
        <v>13</v>
      </c>
      <c r="I94" s="36" t="str">
        <f>TEXT(tbSabana2016[[#This Row],[Fecha de Inicio]],"dddd")</f>
        <v>miércoles</v>
      </c>
      <c r="J94" s="36" t="str">
        <f>TEXT(tbSabana2016[[#This Row],[Fecha de Inicio]],"mmmm")</f>
        <v>marzo</v>
      </c>
      <c r="K94" s="37" t="s">
        <v>143</v>
      </c>
      <c r="L94" s="23">
        <v>7</v>
      </c>
      <c r="M94" s="38" t="s">
        <v>405</v>
      </c>
      <c r="N94" s="38" t="s">
        <v>406</v>
      </c>
      <c r="O94" s="38" t="s">
        <v>532</v>
      </c>
      <c r="P94" s="38"/>
      <c r="Q94" s="47">
        <v>18</v>
      </c>
      <c r="R94" s="102">
        <v>58</v>
      </c>
      <c r="S94" s="105">
        <v>48.7</v>
      </c>
      <c r="T94" s="102">
        <v>99</v>
      </c>
      <c r="U94" s="102">
        <v>12</v>
      </c>
      <c r="V94" s="105">
        <v>13.5</v>
      </c>
      <c r="W9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48.70'' W 99° 12' 13.50''</v>
      </c>
      <c r="X94" s="44">
        <v>1874</v>
      </c>
      <c r="Y94" s="19">
        <v>0</v>
      </c>
      <c r="Z94" s="19">
        <v>0.4</v>
      </c>
      <c r="AA94" s="19">
        <v>0.4</v>
      </c>
      <c r="AB94" s="19">
        <v>0</v>
      </c>
      <c r="AC94" s="19">
        <v>0</v>
      </c>
      <c r="AD94" s="19">
        <v>0.1</v>
      </c>
      <c r="AE94" s="19">
        <f>SUM(tbSabana2016[[#This Row],[Arbolado Adulto (HA)]:[Suelo Orgánico (HA)]])</f>
        <v>0.9</v>
      </c>
      <c r="AF94" s="9">
        <f>SUM(AF93,AE94)</f>
        <v>615.12999999999965</v>
      </c>
      <c r="AG94" s="9">
        <f>tbSabana2016[[#This Row],[Acumulado (HA)]]/tbSabana2016[[#This Row],[Incendio en el AÑO]]</f>
        <v>6.8347777777777736</v>
      </c>
      <c r="AH94" s="2" t="s">
        <v>147</v>
      </c>
      <c r="AI94" s="2" t="s">
        <v>165</v>
      </c>
      <c r="AJ94" s="2" t="s">
        <v>134</v>
      </c>
      <c r="AK94" s="2" t="s">
        <v>183</v>
      </c>
      <c r="AL94" s="2" t="s">
        <v>150</v>
      </c>
      <c r="AM94" s="2" t="s">
        <v>151</v>
      </c>
      <c r="AN94" s="32">
        <v>43551.5</v>
      </c>
      <c r="AO94" s="32">
        <v>43551.503472222219</v>
      </c>
      <c r="AP94" s="32">
        <v>43551.534722222219</v>
      </c>
      <c r="AQ94" s="32">
        <v>43551.576388888891</v>
      </c>
      <c r="AR94" s="32">
        <v>43551.590277777781</v>
      </c>
      <c r="AS94" s="32"/>
      <c r="AT94" s="32">
        <v>43551.729166666664</v>
      </c>
      <c r="AU94" s="32">
        <v>43551.75</v>
      </c>
      <c r="AV94" s="32">
        <v>43551.791666666664</v>
      </c>
      <c r="AW94" s="40">
        <v>0.25</v>
      </c>
      <c r="AX94" s="39">
        <v>3.472222222222222E-3</v>
      </c>
      <c r="AY94" s="39">
        <v>7.2916666666666671E-2</v>
      </c>
      <c r="AZ94" s="40">
        <f>SUM(tbSabana2016[[#This Row],[Duración]])</f>
        <v>0.25</v>
      </c>
      <c r="BA94" s="2">
        <v>0.2</v>
      </c>
      <c r="BB94" s="2">
        <v>0.2</v>
      </c>
      <c r="BC94" s="2">
        <v>0.2</v>
      </c>
      <c r="BD94" s="2">
        <v>0.1</v>
      </c>
      <c r="BE94" s="2">
        <v>0.1</v>
      </c>
      <c r="BF94" s="2">
        <v>0</v>
      </c>
      <c r="BG94" s="2">
        <v>0</v>
      </c>
      <c r="BH94" s="2">
        <v>0.9</v>
      </c>
      <c r="BI94" s="2">
        <v>0</v>
      </c>
      <c r="BJ94" s="2" t="s">
        <v>329</v>
      </c>
      <c r="BK94" s="2">
        <v>1</v>
      </c>
      <c r="BL94" s="2">
        <v>0</v>
      </c>
      <c r="BM94" s="2">
        <v>0</v>
      </c>
      <c r="BN94" s="2">
        <v>1</v>
      </c>
      <c r="BO94" s="2">
        <v>0</v>
      </c>
      <c r="BP94" s="2">
        <v>0</v>
      </c>
      <c r="BQ94" s="2">
        <v>0</v>
      </c>
      <c r="BR94" s="2">
        <v>0</v>
      </c>
      <c r="BS94" s="2" t="s">
        <v>46</v>
      </c>
      <c r="BT94" s="2">
        <v>10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10</v>
      </c>
      <c r="CI94" s="2">
        <v>0</v>
      </c>
      <c r="CJ94" s="2">
        <v>0</v>
      </c>
      <c r="CK94" s="2">
        <v>0</v>
      </c>
      <c r="CL94" s="2">
        <v>0</v>
      </c>
      <c r="CM94" s="2">
        <v>0</v>
      </c>
      <c r="CN94" s="23">
        <f t="shared" si="63"/>
        <v>20</v>
      </c>
      <c r="CO94" s="10">
        <f t="shared" si="62"/>
        <v>1135</v>
      </c>
      <c r="CP94" s="10">
        <f t="shared" si="64"/>
        <v>10</v>
      </c>
      <c r="CQ94" s="24">
        <f>SUM(tbSabana2016[[#This Row],[Voluntarios]])</f>
        <v>10</v>
      </c>
      <c r="CR94" s="8">
        <f>tbSabana2016[[#This Row],[CONAFOR (Oficiales)]]*383</f>
        <v>3830</v>
      </c>
      <c r="CS94" s="8">
        <f>(tbSabana2016[[#This Row],[Total (Oficiales)]]-tbSabana2016[[#This Row],[CONAFOR (Oficiales)]])*217</f>
        <v>2170</v>
      </c>
      <c r="CT94" s="8">
        <f>SUM(tbSabana2016[[#This Row],[Costo CONAFOR]:[Costo Otros]])</f>
        <v>6000</v>
      </c>
      <c r="CU94" s="8">
        <v>285</v>
      </c>
      <c r="CV94" s="8">
        <f t="shared" si="65"/>
        <v>6285</v>
      </c>
      <c r="CW94" s="2" t="s">
        <v>154</v>
      </c>
      <c r="CX94" s="2" t="s">
        <v>154</v>
      </c>
      <c r="CY94" s="69" t="s">
        <v>154</v>
      </c>
      <c r="CZ94" s="2" t="s">
        <v>154</v>
      </c>
      <c r="DA94" s="2" t="s">
        <v>172</v>
      </c>
      <c r="DB94" s="2" t="s">
        <v>155</v>
      </c>
      <c r="DC94" s="2" t="s">
        <v>256</v>
      </c>
      <c r="DD94" s="2" t="s">
        <v>257</v>
      </c>
      <c r="DE94" s="2" t="s">
        <v>158</v>
      </c>
      <c r="DF94" s="2" t="s">
        <v>159</v>
      </c>
      <c r="DG94" s="2" t="s">
        <v>160</v>
      </c>
      <c r="DH94" s="2">
        <v>0</v>
      </c>
      <c r="DI94" s="2">
        <v>0.4</v>
      </c>
      <c r="DJ94" s="2">
        <v>0.4</v>
      </c>
      <c r="DK94" s="2">
        <v>0</v>
      </c>
      <c r="DL94" s="2">
        <v>0</v>
      </c>
      <c r="DM94" s="2">
        <v>0.1</v>
      </c>
      <c r="DN94" s="2">
        <f t="shared" si="66"/>
        <v>0.9</v>
      </c>
    </row>
    <row r="95" spans="1:118" x14ac:dyDescent="0.25">
      <c r="A95" s="2" t="s">
        <v>533</v>
      </c>
      <c r="B95" s="25">
        <v>91</v>
      </c>
      <c r="C95" s="35">
        <v>43552</v>
      </c>
      <c r="D95" s="35">
        <v>43554</v>
      </c>
      <c r="E95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95" s="2">
        <v>85</v>
      </c>
      <c r="G95" s="2">
        <v>1</v>
      </c>
      <c r="H95" s="47">
        <f>WEEKNUM(tbSabana2016[[#This Row],[Fecha de Inicio]],15)</f>
        <v>13</v>
      </c>
      <c r="I95" s="36" t="str">
        <f>TEXT(tbSabana2016[[#This Row],[Fecha de Inicio]],"dddd")</f>
        <v>jueves</v>
      </c>
      <c r="J95" s="36" t="str">
        <f>TEXT(tbSabana2016[[#This Row],[Fecha de Inicio]],"mmmm")</f>
        <v>marzo</v>
      </c>
      <c r="K95" s="37" t="s">
        <v>143</v>
      </c>
      <c r="L95" s="23">
        <v>9</v>
      </c>
      <c r="M95" s="38" t="s">
        <v>144</v>
      </c>
      <c r="N95" s="38" t="s">
        <v>144</v>
      </c>
      <c r="O95" s="38" t="s">
        <v>534</v>
      </c>
      <c r="P95" s="38"/>
      <c r="Q95" s="47">
        <v>19</v>
      </c>
      <c r="R95" s="102">
        <v>3</v>
      </c>
      <c r="S95" s="105">
        <v>41.01</v>
      </c>
      <c r="T95" s="102">
        <v>99</v>
      </c>
      <c r="U95" s="102">
        <v>17</v>
      </c>
      <c r="V95" s="105">
        <v>18.440000000000001</v>
      </c>
      <c r="W9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41.01'' W 99° 17' 18.44''</v>
      </c>
      <c r="X95" s="44">
        <v>2738</v>
      </c>
      <c r="Y95" s="19">
        <v>0</v>
      </c>
      <c r="Z95" s="19">
        <v>40</v>
      </c>
      <c r="AA95" s="19">
        <v>70</v>
      </c>
      <c r="AB95" s="19">
        <v>70</v>
      </c>
      <c r="AC95" s="19">
        <v>20.28</v>
      </c>
      <c r="AD95" s="19">
        <v>0</v>
      </c>
      <c r="AE95" s="19">
        <f>SUM(tbSabana2016[[#This Row],[Arbolado Adulto (HA)]:[Suelo Orgánico (HA)]])</f>
        <v>200.28</v>
      </c>
      <c r="AF95" s="9">
        <f t="shared" ref="AF95:AF102" si="67">SUM(AF94,AE95)</f>
        <v>815.40999999999963</v>
      </c>
      <c r="AG95" s="9">
        <f>tbSabana2016[[#This Row],[Acumulado (HA)]]/tbSabana2016[[#This Row],[Incendio en el AÑO]]</f>
        <v>8.960549450549447</v>
      </c>
      <c r="AH95" s="2" t="s">
        <v>147</v>
      </c>
      <c r="AI95" s="2" t="s">
        <v>165</v>
      </c>
      <c r="AJ95" s="2" t="s">
        <v>133</v>
      </c>
      <c r="AK95" s="2" t="s">
        <v>149</v>
      </c>
      <c r="AL95" s="2" t="s">
        <v>150</v>
      </c>
      <c r="AM95" s="2" t="s">
        <v>151</v>
      </c>
      <c r="AN95" s="32">
        <v>43552.534722222219</v>
      </c>
      <c r="AO95" s="32">
        <v>43552.538194444445</v>
      </c>
      <c r="AP95" s="32">
        <v>43552.541666666664</v>
      </c>
      <c r="AQ95" s="32">
        <v>43552.576388888891</v>
      </c>
      <c r="AR95" s="32">
        <v>43552.579861111109</v>
      </c>
      <c r="AS95" s="32">
        <v>43552.583333333336</v>
      </c>
      <c r="AT95" s="32">
        <v>43554.472222222219</v>
      </c>
      <c r="AU95" s="32">
        <v>43554.645833333336</v>
      </c>
      <c r="AV95" s="32">
        <v>43554.75</v>
      </c>
      <c r="AW95" s="40">
        <v>2.1111111111111112</v>
      </c>
      <c r="AX95" s="39">
        <v>3.472222222222222E-3</v>
      </c>
      <c r="AY95" s="39">
        <v>3.8194444444444441E-2</v>
      </c>
      <c r="AZ95" s="40">
        <f>SUM(tbSabana2016[[#This Row],[Duración]])</f>
        <v>2.1111111111111112</v>
      </c>
      <c r="BA95" s="2">
        <v>3</v>
      </c>
      <c r="BB95" s="2">
        <v>10</v>
      </c>
      <c r="BC95" s="2">
        <v>2</v>
      </c>
      <c r="BD95" s="2">
        <v>0</v>
      </c>
      <c r="BE95" s="2">
        <v>5</v>
      </c>
      <c r="BF95" s="2">
        <v>0</v>
      </c>
      <c r="BG95" s="2">
        <v>3</v>
      </c>
      <c r="BH95" s="2">
        <v>11</v>
      </c>
      <c r="BI95" s="2">
        <v>0</v>
      </c>
      <c r="BJ95" s="2" t="s">
        <v>176</v>
      </c>
      <c r="BK95" s="2">
        <v>1</v>
      </c>
      <c r="BL95" s="2">
        <v>1</v>
      </c>
      <c r="BM95" s="2">
        <v>1</v>
      </c>
      <c r="BN95" s="2">
        <v>1</v>
      </c>
      <c r="BO95" s="2">
        <v>1</v>
      </c>
      <c r="BP95" s="2">
        <v>1</v>
      </c>
      <c r="BQ95" s="2">
        <v>1</v>
      </c>
      <c r="BR95" s="2">
        <v>1</v>
      </c>
      <c r="BS95" s="2" t="s">
        <v>537</v>
      </c>
      <c r="BT95" s="2">
        <v>41</v>
      </c>
      <c r="BU95" s="2">
        <v>0</v>
      </c>
      <c r="BV95" s="2">
        <v>0</v>
      </c>
      <c r="BW95" s="2">
        <v>0</v>
      </c>
      <c r="BX95" s="2">
        <v>0</v>
      </c>
      <c r="BY95" s="2">
        <v>22</v>
      </c>
      <c r="BZ95" s="2">
        <v>0</v>
      </c>
      <c r="CA95" s="2">
        <v>14</v>
      </c>
      <c r="CB95" s="2">
        <v>0</v>
      </c>
      <c r="CC95" s="2">
        <v>0</v>
      </c>
      <c r="CD95" s="2">
        <v>18</v>
      </c>
      <c r="CE95" s="2">
        <v>0</v>
      </c>
      <c r="CF95" s="2">
        <v>24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3">
        <f t="shared" ref="CN95:CN102" si="68">SUM(BT95:CM95)</f>
        <v>119</v>
      </c>
      <c r="CO95" s="10">
        <f t="shared" si="62"/>
        <v>1254</v>
      </c>
      <c r="CP95" s="10">
        <f t="shared" ref="CP95:CP102" si="69">SUM(BT95:CG95,CI95:CM95)</f>
        <v>119</v>
      </c>
      <c r="CQ95" s="24">
        <f>SUM(tbSabana2016[[#This Row],[Voluntarios]])</f>
        <v>0</v>
      </c>
      <c r="CR95" s="8">
        <f>tbSabana2016[[#This Row],[CONAFOR (Oficiales)]]*383</f>
        <v>15703</v>
      </c>
      <c r="CS95" s="8">
        <f>(tbSabana2016[[#This Row],[Total (Oficiales)]]-tbSabana2016[[#This Row],[CONAFOR (Oficiales)]])*217</f>
        <v>16926</v>
      </c>
      <c r="CT95" s="8">
        <f>SUM(tbSabana2016[[#This Row],[Costo CONAFOR]:[Costo Otros]])</f>
        <v>32629</v>
      </c>
      <c r="CU95" s="8">
        <v>2470</v>
      </c>
      <c r="CV95" s="8">
        <f t="shared" ref="CV95:CV102" si="70">SUM(CT95:CU95)</f>
        <v>35099</v>
      </c>
      <c r="CW95" s="2" t="s">
        <v>154</v>
      </c>
      <c r="CX95" s="2" t="s">
        <v>154</v>
      </c>
      <c r="CY95" s="69" t="s">
        <v>154</v>
      </c>
      <c r="CZ95" s="2" t="s">
        <v>154</v>
      </c>
      <c r="DA95" s="2" t="s">
        <v>172</v>
      </c>
      <c r="DB95" s="2" t="s">
        <v>155</v>
      </c>
      <c r="DC95" s="2" t="s">
        <v>256</v>
      </c>
      <c r="DD95" s="2" t="s">
        <v>257</v>
      </c>
      <c r="DE95" s="2" t="s">
        <v>499</v>
      </c>
      <c r="DF95" s="2" t="s">
        <v>158</v>
      </c>
      <c r="DG95" s="2" t="s">
        <v>557</v>
      </c>
      <c r="DH95" s="2">
        <v>0</v>
      </c>
      <c r="DI95" s="2">
        <v>35</v>
      </c>
      <c r="DJ95" s="2">
        <v>70</v>
      </c>
      <c r="DK95" s="2">
        <v>70</v>
      </c>
      <c r="DL95" s="2">
        <v>15.85</v>
      </c>
      <c r="DM95" s="2">
        <v>0</v>
      </c>
      <c r="DN95" s="2">
        <f t="shared" ref="DN95:DN102" si="71">SUM(DH95:DM95)</f>
        <v>190.85</v>
      </c>
    </row>
    <row r="96" spans="1:118" x14ac:dyDescent="0.25">
      <c r="A96" s="2" t="s">
        <v>538</v>
      </c>
      <c r="B96" s="25">
        <v>92</v>
      </c>
      <c r="C96" s="35">
        <v>43554</v>
      </c>
      <c r="D96" s="35">
        <v>43554</v>
      </c>
      <c r="E9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6" s="2">
        <v>86</v>
      </c>
      <c r="G96" s="2">
        <v>1</v>
      </c>
      <c r="H96" s="47">
        <f>WEEKNUM(tbSabana2016[[#This Row],[Fecha de Inicio]],15)</f>
        <v>14</v>
      </c>
      <c r="I96" s="36" t="str">
        <f>TEXT(tbSabana2016[[#This Row],[Fecha de Inicio]],"dddd")</f>
        <v>sábado</v>
      </c>
      <c r="J96" s="36" t="str">
        <f>TEXT(tbSabana2016[[#This Row],[Fecha de Inicio]],"mmmm")</f>
        <v>marzo</v>
      </c>
      <c r="K96" s="37" t="s">
        <v>143</v>
      </c>
      <c r="L96" s="23">
        <v>9</v>
      </c>
      <c r="M96" s="38" t="s">
        <v>144</v>
      </c>
      <c r="N96" s="38" t="s">
        <v>144</v>
      </c>
      <c r="O96" s="38" t="s">
        <v>472</v>
      </c>
      <c r="P96" s="38" t="s">
        <v>249</v>
      </c>
      <c r="Q96" s="47">
        <v>19</v>
      </c>
      <c r="R96" s="102">
        <v>5</v>
      </c>
      <c r="S96" s="105">
        <v>1.5</v>
      </c>
      <c r="T96" s="102">
        <v>99</v>
      </c>
      <c r="U96" s="102">
        <v>14</v>
      </c>
      <c r="V96" s="105">
        <v>43</v>
      </c>
      <c r="W9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05' 01.50'' W 99° 14' 43.00''</v>
      </c>
      <c r="X96" s="44">
        <v>2935</v>
      </c>
      <c r="Y96" s="19">
        <v>0</v>
      </c>
      <c r="Z96" s="19">
        <v>0</v>
      </c>
      <c r="AA96" s="19">
        <v>0.2</v>
      </c>
      <c r="AB96" s="19">
        <v>0.7</v>
      </c>
      <c r="AC96" s="19">
        <v>0</v>
      </c>
      <c r="AD96" s="19">
        <v>0</v>
      </c>
      <c r="AE96" s="19">
        <f>SUM(tbSabana2016[[#This Row],[Arbolado Adulto (HA)]:[Suelo Orgánico (HA)]])</f>
        <v>0.89999999999999991</v>
      </c>
      <c r="AF96" s="9">
        <f t="shared" si="67"/>
        <v>816.3099999999996</v>
      </c>
      <c r="AG96" s="9">
        <f>tbSabana2016[[#This Row],[Acumulado (HA)]]/tbSabana2016[[#This Row],[Incendio en el AÑO]]</f>
        <v>8.8729347826086915</v>
      </c>
      <c r="AH96" s="2" t="s">
        <v>147</v>
      </c>
      <c r="AI96" s="2" t="s">
        <v>165</v>
      </c>
      <c r="AJ96" s="2" t="s">
        <v>134</v>
      </c>
      <c r="AK96" s="2" t="s">
        <v>183</v>
      </c>
      <c r="AL96" s="2" t="s">
        <v>150</v>
      </c>
      <c r="AM96" s="2" t="s">
        <v>151</v>
      </c>
      <c r="AN96" s="32">
        <v>43554.659722222219</v>
      </c>
      <c r="AO96" s="32">
        <v>43554.663194444445</v>
      </c>
      <c r="AP96" s="32">
        <v>43554.666666666664</v>
      </c>
      <c r="AQ96" s="32">
        <v>43554.694444444445</v>
      </c>
      <c r="AR96" s="32">
        <v>43554.695833333331</v>
      </c>
      <c r="AS96" s="32"/>
      <c r="AT96" s="32">
        <v>43554.75</v>
      </c>
      <c r="AU96" s="32">
        <v>43554.770833333336</v>
      </c>
      <c r="AV96" s="32" t="s">
        <v>551</v>
      </c>
      <c r="AW96" s="40">
        <v>0.1111111111111111</v>
      </c>
      <c r="AX96" s="39">
        <v>3.472222222222222E-3</v>
      </c>
      <c r="AY96" s="39">
        <v>3.125E-2</v>
      </c>
      <c r="AZ96" s="40">
        <f>SUM(tbSabana2016[[#This Row],[Duración]])</f>
        <v>0.1111111111111111</v>
      </c>
      <c r="BA96" s="2">
        <v>0.1</v>
      </c>
      <c r="BB96" s="2">
        <v>0.03</v>
      </c>
      <c r="BC96" s="2">
        <v>0</v>
      </c>
      <c r="BD96" s="2">
        <v>0</v>
      </c>
      <c r="BE96" s="2">
        <v>0.04</v>
      </c>
      <c r="BF96" s="2">
        <v>0</v>
      </c>
      <c r="BG96" s="2">
        <v>0</v>
      </c>
      <c r="BH96" s="2">
        <v>0.1</v>
      </c>
      <c r="BI96" s="2">
        <v>0</v>
      </c>
      <c r="BJ96" s="2" t="s">
        <v>179</v>
      </c>
      <c r="BK96" s="2">
        <v>0</v>
      </c>
      <c r="BL96" s="2">
        <v>0</v>
      </c>
      <c r="BM96" s="2">
        <v>0</v>
      </c>
      <c r="BN96" s="2">
        <v>1</v>
      </c>
      <c r="BO96" s="2">
        <v>0</v>
      </c>
      <c r="BP96" s="2">
        <v>0</v>
      </c>
      <c r="BQ96" s="2">
        <v>0</v>
      </c>
      <c r="BR96" s="2">
        <v>0</v>
      </c>
      <c r="BT96" s="2">
        <v>7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3">
        <f t="shared" si="68"/>
        <v>7</v>
      </c>
      <c r="CO96" s="10">
        <f t="shared" si="62"/>
        <v>1261</v>
      </c>
      <c r="CP96" s="10">
        <f t="shared" si="69"/>
        <v>7</v>
      </c>
      <c r="CQ96" s="24">
        <f>SUM(tbSabana2016[[#This Row],[Voluntarios]])</f>
        <v>0</v>
      </c>
      <c r="CR96" s="8">
        <f>tbSabana2016[[#This Row],[CONAFOR (Oficiales)]]*383</f>
        <v>2681</v>
      </c>
      <c r="CS96" s="8">
        <f>(tbSabana2016[[#This Row],[Total (Oficiales)]]-tbSabana2016[[#This Row],[CONAFOR (Oficiales)]])*217</f>
        <v>0</v>
      </c>
      <c r="CT96" s="8">
        <f>SUM(tbSabana2016[[#This Row],[Costo CONAFOR]:[Costo Otros]])</f>
        <v>2681</v>
      </c>
      <c r="CU96" s="8">
        <v>269.19</v>
      </c>
      <c r="CV96" s="8">
        <f t="shared" si="70"/>
        <v>2950.19</v>
      </c>
      <c r="CW96" s="2" t="s">
        <v>154</v>
      </c>
      <c r="CX96" s="2" t="s">
        <v>154</v>
      </c>
      <c r="CY96" s="69" t="s">
        <v>154</v>
      </c>
      <c r="CZ96" s="2" t="s">
        <v>154</v>
      </c>
      <c r="DA96" s="2" t="s">
        <v>172</v>
      </c>
      <c r="DB96" s="2" t="s">
        <v>155</v>
      </c>
      <c r="DC96" s="87" t="s">
        <v>156</v>
      </c>
      <c r="DD96" s="2" t="s">
        <v>157</v>
      </c>
      <c r="DE96" s="2" t="s">
        <v>158</v>
      </c>
      <c r="DF96" s="2" t="s">
        <v>159</v>
      </c>
      <c r="DG96" s="2" t="s">
        <v>160</v>
      </c>
      <c r="DH96" s="2">
        <v>0</v>
      </c>
      <c r="DI96" s="2">
        <v>0</v>
      </c>
      <c r="DJ96" s="2">
        <v>0.2</v>
      </c>
      <c r="DK96" s="2">
        <v>0.7</v>
      </c>
      <c r="DL96" s="2">
        <v>0</v>
      </c>
      <c r="DM96" s="2">
        <v>0</v>
      </c>
      <c r="DN96" s="2">
        <f t="shared" si="71"/>
        <v>0.89999999999999991</v>
      </c>
    </row>
    <row r="97" spans="1:126" x14ac:dyDescent="0.25">
      <c r="A97" s="2" t="s">
        <v>539</v>
      </c>
      <c r="B97" s="25">
        <v>93</v>
      </c>
      <c r="C97" s="35">
        <v>43555</v>
      </c>
      <c r="D97" s="35">
        <v>43555</v>
      </c>
      <c r="E9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7" s="2">
        <v>87</v>
      </c>
      <c r="G97" s="2">
        <v>1</v>
      </c>
      <c r="H97" s="47">
        <f>WEEKNUM(tbSabana2016[[#This Row],[Fecha de Inicio]],15)</f>
        <v>14</v>
      </c>
      <c r="I97" s="36" t="str">
        <f>TEXT(tbSabana2016[[#This Row],[Fecha de Inicio]],"dddd")</f>
        <v>domingo</v>
      </c>
      <c r="J97" s="36" t="str">
        <f>TEXT(tbSabana2016[[#This Row],[Fecha de Inicio]],"mmmm")</f>
        <v>marzo</v>
      </c>
      <c r="K97" s="37" t="s">
        <v>143</v>
      </c>
      <c r="L97" s="23">
        <v>9</v>
      </c>
      <c r="M97" s="38" t="s">
        <v>144</v>
      </c>
      <c r="N97" s="38" t="s">
        <v>144</v>
      </c>
      <c r="O97" s="38" t="s">
        <v>540</v>
      </c>
      <c r="P97" s="38" t="s">
        <v>174</v>
      </c>
      <c r="Q97" s="47">
        <v>19</v>
      </c>
      <c r="R97" s="102">
        <v>3</v>
      </c>
      <c r="S97" s="105">
        <v>0.86</v>
      </c>
      <c r="T97" s="102">
        <v>99</v>
      </c>
      <c r="U97" s="102">
        <v>16</v>
      </c>
      <c r="V97" s="105">
        <v>27.37</v>
      </c>
      <c r="W9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00.86'' W 99° 16' 27.37''</v>
      </c>
      <c r="X97" s="44">
        <v>2773</v>
      </c>
      <c r="Y97" s="19">
        <v>0</v>
      </c>
      <c r="Z97" s="19">
        <v>0</v>
      </c>
      <c r="AA97" s="19">
        <v>2.84</v>
      </c>
      <c r="AB97" s="19">
        <v>2</v>
      </c>
      <c r="AC97" s="19">
        <v>0</v>
      </c>
      <c r="AD97" s="19">
        <v>0</v>
      </c>
      <c r="AE97" s="19">
        <f>SUM(tbSabana2016[[#This Row],[Arbolado Adulto (HA)]:[Suelo Orgánico (HA)]])</f>
        <v>4.84</v>
      </c>
      <c r="AF97" s="9">
        <f t="shared" si="67"/>
        <v>821.14999999999964</v>
      </c>
      <c r="AG97" s="9">
        <f>tbSabana2016[[#This Row],[Acumulado (HA)]]/tbSabana2016[[#This Row],[Incendio en el AÑO]]</f>
        <v>8.8295698924731152</v>
      </c>
      <c r="AH97" s="2" t="s">
        <v>147</v>
      </c>
      <c r="AI97" s="2" t="s">
        <v>165</v>
      </c>
      <c r="AJ97" s="2" t="s">
        <v>133</v>
      </c>
      <c r="AK97" s="2" t="s">
        <v>149</v>
      </c>
      <c r="AL97" s="2" t="s">
        <v>150</v>
      </c>
      <c r="AM97" s="2" t="s">
        <v>151</v>
      </c>
      <c r="AN97" s="32">
        <v>43555.451388888891</v>
      </c>
      <c r="AO97" s="32">
        <v>43555.454861111109</v>
      </c>
      <c r="AP97" s="32">
        <v>43555.458333333336</v>
      </c>
      <c r="AQ97" s="32">
        <v>43555.486111111109</v>
      </c>
      <c r="AR97" s="32">
        <v>43555.489583333336</v>
      </c>
      <c r="AS97" s="32"/>
      <c r="AT97" s="32">
        <v>43555.604166666664</v>
      </c>
      <c r="AU97" s="32">
        <v>43555.645833333336</v>
      </c>
      <c r="AV97" s="32"/>
      <c r="AW97" s="40">
        <v>0.19444444444444445</v>
      </c>
      <c r="AX97" s="39">
        <v>3.472222222222222E-3</v>
      </c>
      <c r="AY97" s="39">
        <v>3.125E-2</v>
      </c>
      <c r="AZ97" s="40">
        <f>SUM(tbSabana2016[[#This Row],[Duración]])</f>
        <v>0.19444444444444445</v>
      </c>
      <c r="BA97" s="2">
        <v>0.4</v>
      </c>
      <c r="BB97" s="2">
        <v>0.8</v>
      </c>
      <c r="BC97" s="2">
        <v>0</v>
      </c>
      <c r="BD97" s="2">
        <v>0</v>
      </c>
      <c r="BE97" s="2">
        <v>0.25</v>
      </c>
      <c r="BF97" s="2">
        <v>0</v>
      </c>
      <c r="BG97" s="2">
        <v>0</v>
      </c>
      <c r="BH97" s="2">
        <v>0.9</v>
      </c>
      <c r="BI97" s="2">
        <v>0</v>
      </c>
      <c r="BJ97" s="2" t="s">
        <v>206</v>
      </c>
      <c r="BK97" s="2">
        <v>0</v>
      </c>
      <c r="BL97" s="2">
        <v>0</v>
      </c>
      <c r="BM97" s="2">
        <v>1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 t="s">
        <v>46</v>
      </c>
      <c r="BT97" s="2">
        <v>10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2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3">
        <f t="shared" si="68"/>
        <v>12</v>
      </c>
      <c r="CO97" s="10">
        <f t="shared" si="62"/>
        <v>1273</v>
      </c>
      <c r="CP97" s="10">
        <f t="shared" si="69"/>
        <v>10</v>
      </c>
      <c r="CQ97" s="24">
        <f>SUM(tbSabana2016[[#This Row],[Voluntarios]])</f>
        <v>2</v>
      </c>
      <c r="CR97" s="8">
        <f>tbSabana2016[[#This Row],[CONAFOR (Oficiales)]]*383</f>
        <v>3830</v>
      </c>
      <c r="CS97" s="8">
        <f>(tbSabana2016[[#This Row],[Total (Oficiales)]]-tbSabana2016[[#This Row],[CONAFOR (Oficiales)]])*217</f>
        <v>434</v>
      </c>
      <c r="CT97" s="8">
        <f>SUM(tbSabana2016[[#This Row],[Costo CONAFOR]:[Costo Otros]])</f>
        <v>4264</v>
      </c>
      <c r="CU97" s="8">
        <v>161.25</v>
      </c>
      <c r="CV97" s="8">
        <f t="shared" si="70"/>
        <v>4425.25</v>
      </c>
      <c r="CW97" s="2" t="s">
        <v>154</v>
      </c>
      <c r="CX97" s="2" t="s">
        <v>154</v>
      </c>
      <c r="CY97" s="69" t="s">
        <v>154</v>
      </c>
      <c r="CZ97" s="2" t="s">
        <v>154</v>
      </c>
      <c r="DA97" s="2" t="s">
        <v>172</v>
      </c>
      <c r="DB97" s="2" t="s">
        <v>155</v>
      </c>
      <c r="DC97" s="2" t="s">
        <v>278</v>
      </c>
      <c r="DD97" s="2" t="s">
        <v>279</v>
      </c>
      <c r="DE97" s="2" t="s">
        <v>158</v>
      </c>
      <c r="DF97" s="2" t="s">
        <v>159</v>
      </c>
      <c r="DG97" s="2" t="s">
        <v>160</v>
      </c>
      <c r="DH97" s="2">
        <v>0</v>
      </c>
      <c r="DI97" s="2">
        <v>0</v>
      </c>
      <c r="DJ97" s="2">
        <v>2.84</v>
      </c>
      <c r="DK97" s="2">
        <v>2</v>
      </c>
      <c r="DL97" s="2">
        <v>0</v>
      </c>
      <c r="DM97" s="2">
        <v>0</v>
      </c>
      <c r="DN97" s="2">
        <f t="shared" si="71"/>
        <v>4.84</v>
      </c>
    </row>
    <row r="98" spans="1:126" x14ac:dyDescent="0.25">
      <c r="A98" s="2" t="s">
        <v>541</v>
      </c>
      <c r="B98" s="25">
        <v>94</v>
      </c>
      <c r="C98" s="35">
        <v>43555</v>
      </c>
      <c r="D98" s="35">
        <v>43555</v>
      </c>
      <c r="E9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98" s="2">
        <v>88</v>
      </c>
      <c r="G98" s="2">
        <v>1</v>
      </c>
      <c r="H98" s="47">
        <f>WEEKNUM(tbSabana2016[[#This Row],[Fecha de Inicio]],15)</f>
        <v>14</v>
      </c>
      <c r="I98" s="36" t="str">
        <f>TEXT(tbSabana2016[[#This Row],[Fecha de Inicio]],"dddd")</f>
        <v>domingo</v>
      </c>
      <c r="J98" s="36" t="str">
        <f>TEXT(tbSabana2016[[#This Row],[Fecha de Inicio]],"mmmm")</f>
        <v>marzo</v>
      </c>
      <c r="K98" s="37" t="s">
        <v>143</v>
      </c>
      <c r="L98" s="23">
        <v>24</v>
      </c>
      <c r="M98" s="38" t="s">
        <v>542</v>
      </c>
      <c r="N98" s="38" t="s">
        <v>542</v>
      </c>
      <c r="O98" s="38" t="s">
        <v>543</v>
      </c>
      <c r="P98" s="38"/>
      <c r="Q98" s="47">
        <v>18</v>
      </c>
      <c r="R98" s="102">
        <v>40</v>
      </c>
      <c r="S98" s="105">
        <v>0.84</v>
      </c>
      <c r="T98" s="102">
        <v>99</v>
      </c>
      <c r="U98" s="102">
        <v>3</v>
      </c>
      <c r="V98" s="105">
        <v>26.64</v>
      </c>
      <c r="W9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40' 00.84'' W 99° 03' 26.64''</v>
      </c>
      <c r="X98" s="44">
        <v>1210</v>
      </c>
      <c r="Y98" s="19">
        <v>0</v>
      </c>
      <c r="Z98" s="19">
        <v>0</v>
      </c>
      <c r="AA98" s="19">
        <v>1.34</v>
      </c>
      <c r="AB98" s="19">
        <v>3</v>
      </c>
      <c r="AC98" s="19">
        <v>2</v>
      </c>
      <c r="AD98" s="19">
        <v>0</v>
      </c>
      <c r="AE98" s="19">
        <f>SUM(tbSabana2016[[#This Row],[Arbolado Adulto (HA)]:[Suelo Orgánico (HA)]])</f>
        <v>6.34</v>
      </c>
      <c r="AF98" s="9">
        <f t="shared" si="67"/>
        <v>827.48999999999967</v>
      </c>
      <c r="AG98" s="9">
        <f>tbSabana2016[[#This Row],[Acumulado (HA)]]/tbSabana2016[[#This Row],[Incendio en el AÑO]]</f>
        <v>8.8030851063829747</v>
      </c>
      <c r="AH98" s="2" t="s">
        <v>147</v>
      </c>
      <c r="AI98" s="2" t="s">
        <v>165</v>
      </c>
      <c r="AJ98" s="2" t="s">
        <v>416</v>
      </c>
      <c r="AK98" s="2" t="s">
        <v>166</v>
      </c>
      <c r="AL98" s="2" t="s">
        <v>201</v>
      </c>
      <c r="AM98" s="2" t="s">
        <v>151</v>
      </c>
      <c r="AN98" s="32">
        <v>43555.5</v>
      </c>
      <c r="AO98" s="32">
        <v>43555.506944444445</v>
      </c>
      <c r="AP98" s="32">
        <v>43555.510416666664</v>
      </c>
      <c r="AQ98" s="32">
        <v>43555.597222222219</v>
      </c>
      <c r="AR98" s="32">
        <v>43555.604166666664</v>
      </c>
      <c r="AS98" s="32"/>
      <c r="AT98" s="32">
        <v>43555.833333333336</v>
      </c>
      <c r="AU98" s="32">
        <v>43555.916666666664</v>
      </c>
      <c r="AV98" s="32">
        <v>43557</v>
      </c>
      <c r="AW98" s="40">
        <v>0.41666666666666669</v>
      </c>
      <c r="AX98" s="39">
        <v>6.9444444444444441E-3</v>
      </c>
      <c r="AY98" s="39">
        <v>9.0277777777777776E-2</v>
      </c>
      <c r="AZ98" s="40">
        <f>SUM(tbSabana2016[[#This Row],[Duración]])</f>
        <v>0.41666666666666669</v>
      </c>
      <c r="BA98" s="2">
        <v>0.6</v>
      </c>
      <c r="BB98" s="2">
        <v>0.9</v>
      </c>
      <c r="BC98" s="2">
        <v>0</v>
      </c>
      <c r="BD98" s="2">
        <v>0.8</v>
      </c>
      <c r="BE98" s="2">
        <v>0.8</v>
      </c>
      <c r="BF98" s="2">
        <v>0</v>
      </c>
      <c r="BG98" s="2">
        <v>0.9</v>
      </c>
      <c r="BH98" s="2">
        <v>1</v>
      </c>
      <c r="BI98" s="2">
        <v>0</v>
      </c>
      <c r="BJ98" s="2" t="s">
        <v>181</v>
      </c>
      <c r="BK98" s="2">
        <v>1</v>
      </c>
      <c r="BL98" s="2">
        <v>1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 t="s">
        <v>544</v>
      </c>
      <c r="BT98" s="2">
        <v>16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7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3">
        <f t="shared" si="68"/>
        <v>23</v>
      </c>
      <c r="CO98" s="10">
        <f t="shared" si="62"/>
        <v>1296</v>
      </c>
      <c r="CP98" s="10">
        <f t="shared" si="69"/>
        <v>23</v>
      </c>
      <c r="CQ98" s="24">
        <f>SUM(tbSabana2016[[#This Row],[Voluntarios]])</f>
        <v>0</v>
      </c>
      <c r="CR98" s="8">
        <f>tbSabana2016[[#This Row],[CONAFOR (Oficiales)]]*383</f>
        <v>6128</v>
      </c>
      <c r="CS98" s="8">
        <f>(tbSabana2016[[#This Row],[Total (Oficiales)]]-tbSabana2016[[#This Row],[CONAFOR (Oficiales)]])*217</f>
        <v>1519</v>
      </c>
      <c r="CT98" s="8">
        <f>SUM(tbSabana2016[[#This Row],[Costo CONAFOR]:[Costo Otros]])</f>
        <v>7647</v>
      </c>
      <c r="CU98" s="8">
        <v>1469.66</v>
      </c>
      <c r="CV98" s="8">
        <f t="shared" si="70"/>
        <v>9116.66</v>
      </c>
      <c r="CW98" s="2" t="s">
        <v>154</v>
      </c>
      <c r="CX98" s="2" t="s">
        <v>154</v>
      </c>
      <c r="CY98" s="69" t="s">
        <v>154</v>
      </c>
      <c r="CZ98" s="2" t="s">
        <v>154</v>
      </c>
      <c r="DA98" s="2" t="s">
        <v>172</v>
      </c>
      <c r="DB98" s="2" t="s">
        <v>155</v>
      </c>
      <c r="DC98" s="2" t="s">
        <v>168</v>
      </c>
      <c r="DD98" s="2" t="s">
        <v>169</v>
      </c>
      <c r="DE98" s="2" t="s">
        <v>202</v>
      </c>
      <c r="DF98" s="2" t="s">
        <v>159</v>
      </c>
      <c r="DG98" s="2" t="s">
        <v>203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f t="shared" si="71"/>
        <v>0</v>
      </c>
    </row>
    <row r="99" spans="1:126" x14ac:dyDescent="0.25">
      <c r="A99" s="2" t="s">
        <v>545</v>
      </c>
      <c r="B99" s="25">
        <v>95</v>
      </c>
      <c r="C99" s="35">
        <v>43555</v>
      </c>
      <c r="D99" s="35">
        <v>43556</v>
      </c>
      <c r="E99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99" s="2">
        <v>89</v>
      </c>
      <c r="G99" s="2">
        <v>1</v>
      </c>
      <c r="H99" s="47">
        <f>WEEKNUM(tbSabana2016[[#This Row],[Fecha de Inicio]],15)</f>
        <v>14</v>
      </c>
      <c r="I99" s="36" t="str">
        <f>TEXT(tbSabana2016[[#This Row],[Fecha de Inicio]],"dddd")</f>
        <v>domingo</v>
      </c>
      <c r="J99" s="36" t="str">
        <f>TEXT(tbSabana2016[[#This Row],[Fecha de Inicio]],"mmmm")</f>
        <v>marzo</v>
      </c>
      <c r="K99" s="37" t="s">
        <v>143</v>
      </c>
      <c r="L99" s="23">
        <v>9</v>
      </c>
      <c r="M99" s="38" t="s">
        <v>144</v>
      </c>
      <c r="N99" s="38" t="s">
        <v>144</v>
      </c>
      <c r="O99" s="38" t="s">
        <v>546</v>
      </c>
      <c r="P99" s="38"/>
      <c r="Q99" s="47">
        <v>19</v>
      </c>
      <c r="R99" s="102">
        <v>5</v>
      </c>
      <c r="S99" s="105">
        <v>0.24</v>
      </c>
      <c r="T99" s="102">
        <v>99</v>
      </c>
      <c r="U99" s="102">
        <v>14</v>
      </c>
      <c r="V99" s="105">
        <v>58.19</v>
      </c>
      <c r="W9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05' 00.24'' W 99° 14' 58.19''</v>
      </c>
      <c r="X99" s="44">
        <v>2998</v>
      </c>
      <c r="Y99" s="19">
        <v>0</v>
      </c>
      <c r="Z99" s="19">
        <v>0</v>
      </c>
      <c r="AA99" s="19">
        <v>3.56</v>
      </c>
      <c r="AB99" s="19">
        <v>3</v>
      </c>
      <c r="AC99" s="19">
        <v>0</v>
      </c>
      <c r="AD99" s="19">
        <v>0</v>
      </c>
      <c r="AE99" s="19">
        <f>SUM(tbSabana2016[[#This Row],[Arbolado Adulto (HA)]:[Suelo Orgánico (HA)]])</f>
        <v>6.5600000000000005</v>
      </c>
      <c r="AF99" s="9">
        <f t="shared" si="67"/>
        <v>834.04999999999961</v>
      </c>
      <c r="AG99" s="9">
        <f>tbSabana2016[[#This Row],[Acumulado (HA)]]/tbSabana2016[[#This Row],[Incendio en el AÑO]]</f>
        <v>8.7794736842105223</v>
      </c>
      <c r="AH99" s="2" t="s">
        <v>147</v>
      </c>
      <c r="AI99" s="2" t="s">
        <v>165</v>
      </c>
      <c r="AJ99" s="2" t="s">
        <v>133</v>
      </c>
      <c r="AK99" s="2" t="s">
        <v>149</v>
      </c>
      <c r="AL99" s="2" t="s">
        <v>150</v>
      </c>
      <c r="AM99" s="2" t="s">
        <v>151</v>
      </c>
      <c r="AN99" s="32">
        <v>43555.638888888891</v>
      </c>
      <c r="AO99" s="32">
        <v>43555.642361111109</v>
      </c>
      <c r="AP99" s="32">
        <v>43555.645833333336</v>
      </c>
      <c r="AQ99" s="32">
        <v>43555.666666666664</v>
      </c>
      <c r="AR99" s="32">
        <v>43555.673611111109</v>
      </c>
      <c r="AS99" s="32"/>
      <c r="AT99" s="32">
        <v>43555.875</v>
      </c>
      <c r="AU99" s="32">
        <v>43556.5</v>
      </c>
      <c r="AV99" s="32">
        <v>43556.541666666664</v>
      </c>
      <c r="AW99" s="40">
        <v>0.86111111111111116</v>
      </c>
      <c r="AX99" s="39">
        <v>3.472222222222222E-3</v>
      </c>
      <c r="AY99" s="39">
        <v>2.4305555555555556E-2</v>
      </c>
      <c r="AZ99" s="40">
        <f>SUM(tbSabana2016[[#This Row],[Duración]])</f>
        <v>0.86111111111111116</v>
      </c>
      <c r="BA99" s="2">
        <v>0.4</v>
      </c>
      <c r="BB99" s="2">
        <v>0.5</v>
      </c>
      <c r="BC99" s="2">
        <v>0</v>
      </c>
      <c r="BD99" s="2">
        <v>0</v>
      </c>
      <c r="BE99" s="2">
        <v>0.35</v>
      </c>
      <c r="BF99" s="2">
        <v>0</v>
      </c>
      <c r="BG99" s="2">
        <v>0</v>
      </c>
      <c r="BH99" s="2">
        <v>0.9</v>
      </c>
      <c r="BI99" s="2">
        <v>0</v>
      </c>
      <c r="BJ99" s="2" t="s">
        <v>206</v>
      </c>
      <c r="BK99" s="2">
        <v>0</v>
      </c>
      <c r="BL99" s="2">
        <v>0</v>
      </c>
      <c r="BM99" s="2">
        <v>1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 t="s">
        <v>497</v>
      </c>
      <c r="BT99" s="2">
        <v>19</v>
      </c>
      <c r="BU99" s="2">
        <v>0</v>
      </c>
      <c r="BV99" s="2">
        <v>0</v>
      </c>
      <c r="BW99" s="2">
        <v>0</v>
      </c>
      <c r="BX99" s="2">
        <v>0</v>
      </c>
      <c r="BY99" s="2">
        <v>10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3">
        <f t="shared" si="68"/>
        <v>29</v>
      </c>
      <c r="CO99" s="10">
        <f t="shared" si="62"/>
        <v>1325</v>
      </c>
      <c r="CP99" s="10">
        <f t="shared" si="69"/>
        <v>29</v>
      </c>
      <c r="CQ99" s="24">
        <f>SUM(tbSabana2016[[#This Row],[Voluntarios]])</f>
        <v>0</v>
      </c>
      <c r="CR99" s="8">
        <f>tbSabana2016[[#This Row],[CONAFOR (Oficiales)]]*383</f>
        <v>7277</v>
      </c>
      <c r="CS99" s="8">
        <f>(tbSabana2016[[#This Row],[Total (Oficiales)]]-tbSabana2016[[#This Row],[CONAFOR (Oficiales)]])*217</f>
        <v>2170</v>
      </c>
      <c r="CT99" s="8">
        <f>SUM(tbSabana2016[[#This Row],[Costo CONAFOR]:[Costo Otros]])</f>
        <v>9447</v>
      </c>
      <c r="CU99" s="8">
        <v>247</v>
      </c>
      <c r="CV99" s="8">
        <f t="shared" si="70"/>
        <v>9694</v>
      </c>
      <c r="CW99" s="2" t="s">
        <v>154</v>
      </c>
      <c r="CX99" s="2" t="s">
        <v>154</v>
      </c>
      <c r="CY99" s="69" t="s">
        <v>154</v>
      </c>
      <c r="CZ99" s="2" t="s">
        <v>154</v>
      </c>
      <c r="DA99" s="2" t="s">
        <v>172</v>
      </c>
      <c r="DB99" s="2" t="s">
        <v>155</v>
      </c>
      <c r="DC99" s="2" t="s">
        <v>256</v>
      </c>
      <c r="DD99" s="2" t="s">
        <v>257</v>
      </c>
      <c r="DE99" s="2" t="s">
        <v>158</v>
      </c>
      <c r="DF99" s="2" t="s">
        <v>159</v>
      </c>
      <c r="DG99" s="2" t="s">
        <v>160</v>
      </c>
      <c r="DH99" s="2">
        <v>0</v>
      </c>
      <c r="DI99" s="2">
        <v>0</v>
      </c>
      <c r="DJ99" s="2">
        <v>3.56</v>
      </c>
      <c r="DK99" s="2">
        <v>3</v>
      </c>
      <c r="DL99" s="2">
        <v>0</v>
      </c>
      <c r="DM99" s="2">
        <v>0</v>
      </c>
      <c r="DN99" s="2">
        <f t="shared" si="71"/>
        <v>6.5600000000000005</v>
      </c>
    </row>
    <row r="100" spans="1:126" x14ac:dyDescent="0.25">
      <c r="A100" s="2" t="s">
        <v>547</v>
      </c>
      <c r="B100" s="25">
        <v>96</v>
      </c>
      <c r="C100" s="35">
        <v>43556</v>
      </c>
      <c r="D100" s="35">
        <v>43556</v>
      </c>
      <c r="E10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0" s="2">
        <v>1</v>
      </c>
      <c r="G100" s="2">
        <v>1</v>
      </c>
      <c r="H100" s="47">
        <f>WEEKNUM(tbSabana2016[[#This Row],[Fecha de Inicio]],15)</f>
        <v>14</v>
      </c>
      <c r="I100" s="36" t="str">
        <f>TEXT(tbSabana2016[[#This Row],[Fecha de Inicio]],"dddd")</f>
        <v>lunes</v>
      </c>
      <c r="J100" s="36" t="str">
        <f>TEXT(tbSabana2016[[#This Row],[Fecha de Inicio]],"mmmm")</f>
        <v>abril</v>
      </c>
      <c r="K100" s="37" t="s">
        <v>143</v>
      </c>
      <c r="L100" s="23">
        <v>9</v>
      </c>
      <c r="M100" s="38" t="s">
        <v>144</v>
      </c>
      <c r="N100" s="38" t="s">
        <v>144</v>
      </c>
      <c r="O100" s="38" t="s">
        <v>558</v>
      </c>
      <c r="P100" s="38"/>
      <c r="Q100" s="47">
        <v>19</v>
      </c>
      <c r="R100" s="102">
        <v>4</v>
      </c>
      <c r="S100" s="105">
        <v>12.2</v>
      </c>
      <c r="T100" s="102">
        <v>99</v>
      </c>
      <c r="U100" s="102">
        <v>11</v>
      </c>
      <c r="V100" s="105">
        <v>46</v>
      </c>
      <c r="W10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12.20'' W 99° 11' 46.00''</v>
      </c>
      <c r="X100" s="44">
        <v>2944</v>
      </c>
      <c r="Y100" s="19">
        <v>0</v>
      </c>
      <c r="Z100" s="19">
        <v>0</v>
      </c>
      <c r="AA100" s="19">
        <v>0.4</v>
      </c>
      <c r="AB100" s="19">
        <v>0.5</v>
      </c>
      <c r="AC100" s="19">
        <v>0</v>
      </c>
      <c r="AD100" s="19">
        <v>0</v>
      </c>
      <c r="AE100" s="19">
        <f>SUM(tbSabana2016[[#This Row],[Arbolado Adulto (HA)]:[Suelo Orgánico (HA)]])</f>
        <v>0.9</v>
      </c>
      <c r="AF100" s="9">
        <f t="shared" si="67"/>
        <v>834.94999999999959</v>
      </c>
      <c r="AG100" s="9">
        <f>tbSabana2016[[#This Row],[Acumulado (HA)]]/tbSabana2016[[#This Row],[Incendio en el AÑO]]</f>
        <v>8.6973958333333297</v>
      </c>
      <c r="AH100" s="2" t="s">
        <v>147</v>
      </c>
      <c r="AI100" s="2" t="s">
        <v>165</v>
      </c>
      <c r="AJ100" s="2" t="s">
        <v>133</v>
      </c>
      <c r="AK100" s="2" t="s">
        <v>149</v>
      </c>
      <c r="AL100" s="2" t="s">
        <v>150</v>
      </c>
      <c r="AM100" s="2" t="s">
        <v>151</v>
      </c>
      <c r="AN100" s="32">
        <v>43556.545138888891</v>
      </c>
      <c r="AO100" s="32">
        <v>43556.548611111109</v>
      </c>
      <c r="AP100" s="32">
        <v>43556.552083333336</v>
      </c>
      <c r="AQ100" s="32">
        <v>43556.583333333336</v>
      </c>
      <c r="AR100" s="32">
        <v>43556.586805555555</v>
      </c>
      <c r="AS100" s="32"/>
      <c r="AT100" s="32">
        <v>43556.625</v>
      </c>
      <c r="AU100" s="32">
        <v>43556.65625</v>
      </c>
      <c r="AV100" s="32"/>
      <c r="AW100" s="40">
        <v>0.1111111111111111</v>
      </c>
      <c r="AX100" s="39">
        <v>3.472222222222222E-3</v>
      </c>
      <c r="AY100" s="39">
        <v>3.4722222222222224E-2</v>
      </c>
      <c r="AZ100" s="40">
        <f>SUM(tbSabana2016[[#This Row],[Duración]])</f>
        <v>0.1111111111111111</v>
      </c>
      <c r="BA100" s="2">
        <v>0.3</v>
      </c>
      <c r="BB100" s="2">
        <v>0.1</v>
      </c>
      <c r="BC100" s="2">
        <v>0</v>
      </c>
      <c r="BD100" s="2">
        <v>0</v>
      </c>
      <c r="BE100" s="2">
        <v>0.15</v>
      </c>
      <c r="BF100" s="2">
        <v>0</v>
      </c>
      <c r="BG100" s="2">
        <v>0</v>
      </c>
      <c r="BH100" s="2">
        <v>0</v>
      </c>
      <c r="BI100" s="2">
        <v>0</v>
      </c>
      <c r="BJ100" s="2" t="s">
        <v>206</v>
      </c>
      <c r="BK100" s="2">
        <v>0</v>
      </c>
      <c r="BL100" s="2">
        <v>0</v>
      </c>
      <c r="BM100" s="2">
        <v>1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 t="s">
        <v>46</v>
      </c>
      <c r="BT100" s="2">
        <v>9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5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3">
        <f t="shared" si="68"/>
        <v>14</v>
      </c>
      <c r="CO100" s="10">
        <f t="shared" si="62"/>
        <v>1339</v>
      </c>
      <c r="CP100" s="10">
        <f t="shared" si="69"/>
        <v>9</v>
      </c>
      <c r="CQ100" s="24">
        <f>SUM(tbSabana2016[[#This Row],[Voluntarios]])</f>
        <v>5</v>
      </c>
      <c r="CR100" s="8">
        <f>tbSabana2016[[#This Row],[CONAFOR (Oficiales)]]*383</f>
        <v>3447</v>
      </c>
      <c r="CS100" s="8">
        <f>(tbSabana2016[[#This Row],[Total (Oficiales)]]-tbSabana2016[[#This Row],[CONAFOR (Oficiales)]])*217</f>
        <v>1085</v>
      </c>
      <c r="CT100" s="8">
        <f>SUM(tbSabana2016[[#This Row],[Costo CONAFOR]:[Costo Otros]])</f>
        <v>4532</v>
      </c>
      <c r="CU100" s="8">
        <v>455.77</v>
      </c>
      <c r="CV100" s="8">
        <f t="shared" si="70"/>
        <v>4987.7700000000004</v>
      </c>
      <c r="CW100" s="2" t="s">
        <v>154</v>
      </c>
      <c r="CX100" s="2" t="s">
        <v>154</v>
      </c>
      <c r="CY100" s="69" t="s">
        <v>154</v>
      </c>
      <c r="CZ100" s="2" t="s">
        <v>154</v>
      </c>
      <c r="DA100" s="2" t="s">
        <v>172</v>
      </c>
      <c r="DB100" s="2" t="s">
        <v>155</v>
      </c>
      <c r="DC100" s="2" t="s">
        <v>256</v>
      </c>
      <c r="DD100" s="2" t="s">
        <v>257</v>
      </c>
      <c r="DE100" s="2" t="s">
        <v>158</v>
      </c>
      <c r="DF100" s="2" t="s">
        <v>159</v>
      </c>
      <c r="DG100" s="2" t="s">
        <v>160</v>
      </c>
      <c r="DH100" s="2">
        <v>0</v>
      </c>
      <c r="DI100" s="2">
        <v>0</v>
      </c>
      <c r="DJ100" s="2">
        <v>0.4</v>
      </c>
      <c r="DK100" s="2">
        <v>0.5</v>
      </c>
      <c r="DL100" s="2">
        <v>0</v>
      </c>
      <c r="DM100" s="2">
        <v>0</v>
      </c>
      <c r="DN100" s="2">
        <f t="shared" si="71"/>
        <v>0.9</v>
      </c>
    </row>
    <row r="101" spans="1:126" x14ac:dyDescent="0.25">
      <c r="A101" s="2" t="s">
        <v>548</v>
      </c>
      <c r="B101" s="25">
        <v>97</v>
      </c>
      <c r="C101" s="35">
        <v>43556</v>
      </c>
      <c r="D101" s="35">
        <v>43556</v>
      </c>
      <c r="E10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1" s="2">
        <v>2</v>
      </c>
      <c r="G101" s="2">
        <v>1</v>
      </c>
      <c r="H101" s="47">
        <f>WEEKNUM(tbSabana2016[[#This Row],[Fecha de Inicio]],15)</f>
        <v>14</v>
      </c>
      <c r="I101" s="36" t="str">
        <f>TEXT(tbSabana2016[[#This Row],[Fecha de Inicio]],"dddd")</f>
        <v>lunes</v>
      </c>
      <c r="J101" s="36" t="str">
        <f>TEXT(tbSabana2016[[#This Row],[Fecha de Inicio]],"mmmm")</f>
        <v>abril</v>
      </c>
      <c r="K101" s="37" t="s">
        <v>143</v>
      </c>
      <c r="L101" s="23">
        <v>20</v>
      </c>
      <c r="M101" s="38" t="s">
        <v>162</v>
      </c>
      <c r="N101" s="38" t="s">
        <v>163</v>
      </c>
      <c r="O101" s="38" t="s">
        <v>259</v>
      </c>
      <c r="P101" s="38" t="s">
        <v>249</v>
      </c>
      <c r="Q101" s="47">
        <v>18</v>
      </c>
      <c r="R101" s="102">
        <v>58</v>
      </c>
      <c r="S101" s="105">
        <v>36.33</v>
      </c>
      <c r="T101" s="102">
        <v>99</v>
      </c>
      <c r="U101" s="102">
        <v>10</v>
      </c>
      <c r="V101" s="105">
        <v>54.19</v>
      </c>
      <c r="W10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36.33'' W 99° 10' 54.19''</v>
      </c>
      <c r="X101" s="44">
        <v>1735</v>
      </c>
      <c r="Y101" s="19">
        <v>0</v>
      </c>
      <c r="Z101" s="19">
        <v>0</v>
      </c>
      <c r="AA101" s="19">
        <v>5</v>
      </c>
      <c r="AB101" s="19">
        <v>10</v>
      </c>
      <c r="AC101" s="19">
        <v>2.39</v>
      </c>
      <c r="AD101" s="19">
        <v>0</v>
      </c>
      <c r="AE101" s="19">
        <f>SUM(tbSabana2016[[#This Row],[Arbolado Adulto (HA)]:[Suelo Orgánico (HA)]])</f>
        <v>17.39</v>
      </c>
      <c r="AF101" s="9">
        <f t="shared" si="67"/>
        <v>852.33999999999958</v>
      </c>
      <c r="AG101" s="9">
        <f>tbSabana2016[[#This Row],[Acumulado (HA)]]/tbSabana2016[[#This Row],[Incendio en el AÑO]]</f>
        <v>8.7870103092783456</v>
      </c>
      <c r="AH101" s="2" t="s">
        <v>147</v>
      </c>
      <c r="AI101" s="2" t="s">
        <v>165</v>
      </c>
      <c r="AJ101" s="2" t="s">
        <v>134</v>
      </c>
      <c r="AK101" s="2" t="s">
        <v>200</v>
      </c>
      <c r="AL101" s="2" t="s">
        <v>150</v>
      </c>
      <c r="AM101" s="2" t="s">
        <v>151</v>
      </c>
      <c r="AN101" s="32">
        <v>43556.590277777781</v>
      </c>
      <c r="AO101" s="32">
        <v>43556.59375</v>
      </c>
      <c r="AP101" s="32">
        <v>43556.597222222219</v>
      </c>
      <c r="AQ101" s="32">
        <v>43556.628472222219</v>
      </c>
      <c r="AR101" s="32">
        <v>43556.631944444445</v>
      </c>
      <c r="AS101" s="32"/>
      <c r="AT101" s="32">
        <v>43556.722222222219</v>
      </c>
      <c r="AU101" s="32">
        <v>43556.75</v>
      </c>
      <c r="AV101" s="32">
        <v>43556.777777777781</v>
      </c>
      <c r="AW101" s="40">
        <v>0.15972222222222224</v>
      </c>
      <c r="AX101" s="39">
        <v>3.472222222222222E-3</v>
      </c>
      <c r="AY101" s="39">
        <v>3.4722222222222224E-2</v>
      </c>
      <c r="AZ101" s="40">
        <f>SUM(tbSabana2016[[#This Row],[Duración]])</f>
        <v>0.15972222222222224</v>
      </c>
      <c r="BA101" s="2">
        <v>0.4</v>
      </c>
      <c r="BB101" s="2">
        <v>1.5</v>
      </c>
      <c r="BC101" s="2">
        <v>0</v>
      </c>
      <c r="BD101" s="2">
        <v>0.3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 t="s">
        <v>242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 t="s">
        <v>559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10</v>
      </c>
      <c r="BZ101" s="2">
        <v>0</v>
      </c>
      <c r="CA101" s="2">
        <v>0</v>
      </c>
      <c r="CB101" s="2">
        <v>0</v>
      </c>
      <c r="CC101" s="2">
        <v>0</v>
      </c>
      <c r="CD101" s="2">
        <v>12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3">
        <f t="shared" si="68"/>
        <v>22</v>
      </c>
      <c r="CO101" s="10">
        <f t="shared" si="62"/>
        <v>1361</v>
      </c>
      <c r="CP101" s="10">
        <f t="shared" si="69"/>
        <v>22</v>
      </c>
      <c r="CQ101" s="24">
        <f>SUM(tbSabana2016[[#This Row],[Voluntarios]])</f>
        <v>0</v>
      </c>
      <c r="CR101" s="8">
        <f>tbSabana2016[[#This Row],[CONAFOR (Oficiales)]]*383</f>
        <v>0</v>
      </c>
      <c r="CS101" s="8">
        <f>(tbSabana2016[[#This Row],[Total (Oficiales)]]-tbSabana2016[[#This Row],[CONAFOR (Oficiales)]])*217</f>
        <v>4774</v>
      </c>
      <c r="CT101" s="8">
        <f>SUM(tbSabana2016[[#This Row],[Costo CONAFOR]:[Costo Otros]])</f>
        <v>4774</v>
      </c>
      <c r="CU101" s="8">
        <v>381</v>
      </c>
      <c r="CV101" s="8">
        <f t="shared" si="70"/>
        <v>5155</v>
      </c>
      <c r="CW101" s="2" t="s">
        <v>154</v>
      </c>
      <c r="CX101" s="2" t="s">
        <v>154</v>
      </c>
      <c r="CY101" s="69" t="s">
        <v>154</v>
      </c>
      <c r="CZ101" s="2" t="s">
        <v>154</v>
      </c>
      <c r="DA101" s="2" t="s">
        <v>172</v>
      </c>
      <c r="DB101" s="2" t="s">
        <v>155</v>
      </c>
      <c r="DC101" s="2" t="s">
        <v>468</v>
      </c>
      <c r="DD101" s="2" t="s">
        <v>311</v>
      </c>
      <c r="DE101" s="2" t="s">
        <v>170</v>
      </c>
      <c r="DF101" s="2" t="s">
        <v>159</v>
      </c>
      <c r="DG101" s="2" t="s">
        <v>475</v>
      </c>
      <c r="DH101" s="2">
        <v>0</v>
      </c>
      <c r="DI101" s="2">
        <v>0</v>
      </c>
      <c r="DJ101" s="2">
        <v>5</v>
      </c>
      <c r="DK101" s="2">
        <v>10</v>
      </c>
      <c r="DL101" s="2">
        <v>2.39</v>
      </c>
      <c r="DM101" s="2">
        <v>0</v>
      </c>
      <c r="DN101" s="2">
        <f t="shared" si="71"/>
        <v>17.39</v>
      </c>
    </row>
    <row r="102" spans="1:126" x14ac:dyDescent="0.25">
      <c r="A102" s="2" t="s">
        <v>549</v>
      </c>
      <c r="B102" s="25">
        <v>98</v>
      </c>
      <c r="C102" s="35">
        <v>43556</v>
      </c>
      <c r="D102" s="35">
        <v>43556</v>
      </c>
      <c r="E10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2" s="2">
        <v>3</v>
      </c>
      <c r="G102" s="2">
        <v>1</v>
      </c>
      <c r="H102" s="47">
        <f>WEEKNUM(tbSabana2016[[#This Row],[Fecha de Inicio]],15)</f>
        <v>14</v>
      </c>
      <c r="I102" s="36" t="str">
        <f>TEXT(tbSabana2016[[#This Row],[Fecha de Inicio]],"dddd")</f>
        <v>lunes</v>
      </c>
      <c r="J102" s="36" t="str">
        <f>TEXT(tbSabana2016[[#This Row],[Fecha de Inicio]],"mmmm")</f>
        <v>abril</v>
      </c>
      <c r="K102" s="37" t="s">
        <v>143</v>
      </c>
      <c r="L102" s="23">
        <v>7</v>
      </c>
      <c r="M102" s="38" t="s">
        <v>405</v>
      </c>
      <c r="N102" s="38" t="s">
        <v>550</v>
      </c>
      <c r="O102" s="38" t="s">
        <v>560</v>
      </c>
      <c r="P102" s="38" t="s">
        <v>174</v>
      </c>
      <c r="Q102" s="47">
        <v>18</v>
      </c>
      <c r="R102" s="102">
        <v>58</v>
      </c>
      <c r="S102" s="105">
        <v>55.24</v>
      </c>
      <c r="T102" s="102">
        <v>99</v>
      </c>
      <c r="U102" s="102">
        <v>12</v>
      </c>
      <c r="V102" s="105">
        <v>49.77</v>
      </c>
      <c r="W10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55.24'' W 99° 12' 49.77''</v>
      </c>
      <c r="X102" s="44">
        <v>1907</v>
      </c>
      <c r="Y102" s="19">
        <v>0</v>
      </c>
      <c r="Z102" s="19">
        <v>0</v>
      </c>
      <c r="AA102" s="19">
        <v>0.4</v>
      </c>
      <c r="AB102" s="19">
        <v>0.5</v>
      </c>
      <c r="AC102" s="19">
        <v>0</v>
      </c>
      <c r="AD102" s="19">
        <v>0</v>
      </c>
      <c r="AE102" s="19">
        <f>SUM(tbSabana2016[[#This Row],[Arbolado Adulto (HA)]:[Suelo Orgánico (HA)]])</f>
        <v>0.9</v>
      </c>
      <c r="AF102" s="9">
        <f t="shared" si="67"/>
        <v>853.23999999999955</v>
      </c>
      <c r="AG102" s="9">
        <f>tbSabana2016[[#This Row],[Acumulado (HA)]]/tbSabana2016[[#This Row],[Incendio en el AÑO]]</f>
        <v>8.7065306122448938</v>
      </c>
      <c r="AH102" s="2" t="s">
        <v>147</v>
      </c>
      <c r="AI102" s="2" t="s">
        <v>165</v>
      </c>
      <c r="AJ102" s="2" t="s">
        <v>134</v>
      </c>
      <c r="AK102" s="2" t="s">
        <v>200</v>
      </c>
      <c r="AL102" s="2" t="s">
        <v>150</v>
      </c>
      <c r="AM102" s="2" t="s">
        <v>151</v>
      </c>
      <c r="AN102" s="32">
        <v>43556.649305555555</v>
      </c>
      <c r="AO102" s="32">
        <v>43556.652777777781</v>
      </c>
      <c r="AP102" s="32">
        <v>43556.65625</v>
      </c>
      <c r="AQ102" s="32">
        <v>43556.6875</v>
      </c>
      <c r="AR102" s="32">
        <v>43556.690972222219</v>
      </c>
      <c r="AS102" s="32"/>
      <c r="AT102" s="32">
        <v>43556.791666666664</v>
      </c>
      <c r="AU102" s="32">
        <v>43556.854166666664</v>
      </c>
      <c r="AV102" s="32">
        <v>43556.875</v>
      </c>
      <c r="AW102" s="40">
        <v>0.20486111111111113</v>
      </c>
      <c r="AX102" s="39">
        <v>3.472222222222222E-3</v>
      </c>
      <c r="AY102" s="39">
        <v>3.4722222222222224E-2</v>
      </c>
      <c r="AZ102" s="40">
        <f>SUM(tbSabana2016[[#This Row],[Duración]])</f>
        <v>0.20486111111111113</v>
      </c>
      <c r="BA102" s="2">
        <v>0.3</v>
      </c>
      <c r="BB102" s="2">
        <v>0.1</v>
      </c>
      <c r="BC102" s="2">
        <v>0</v>
      </c>
      <c r="BD102" s="2">
        <v>0</v>
      </c>
      <c r="BE102" s="2">
        <v>0.1</v>
      </c>
      <c r="BF102" s="2">
        <v>0</v>
      </c>
      <c r="BG102" s="2">
        <v>0</v>
      </c>
      <c r="BH102" s="2">
        <v>0</v>
      </c>
      <c r="BI102" s="2">
        <v>0</v>
      </c>
      <c r="BJ102" s="2" t="s">
        <v>206</v>
      </c>
      <c r="BK102" s="2">
        <v>0</v>
      </c>
      <c r="BL102" s="2">
        <v>0</v>
      </c>
      <c r="BM102" s="2">
        <v>1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 t="s">
        <v>46</v>
      </c>
      <c r="BT102" s="2">
        <v>9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7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3">
        <f t="shared" si="68"/>
        <v>16</v>
      </c>
      <c r="CO102" s="10">
        <f t="shared" si="62"/>
        <v>1377</v>
      </c>
      <c r="CP102" s="10">
        <f t="shared" si="69"/>
        <v>9</v>
      </c>
      <c r="CQ102" s="24">
        <f>SUM(tbSabana2016[[#This Row],[Voluntarios]])</f>
        <v>7</v>
      </c>
      <c r="CR102" s="8">
        <f>tbSabana2016[[#This Row],[CONAFOR (Oficiales)]]*383</f>
        <v>3447</v>
      </c>
      <c r="CS102" s="8">
        <f>(tbSabana2016[[#This Row],[Total (Oficiales)]]-tbSabana2016[[#This Row],[CONAFOR (Oficiales)]])*217</f>
        <v>1519</v>
      </c>
      <c r="CT102" s="8">
        <f>SUM(tbSabana2016[[#This Row],[Costo CONAFOR]:[Costo Otros]])</f>
        <v>4966</v>
      </c>
      <c r="CU102" s="8">
        <v>79.959999999999994</v>
      </c>
      <c r="CV102" s="8">
        <f t="shared" si="70"/>
        <v>5045.96</v>
      </c>
      <c r="CW102" s="2" t="s">
        <v>154</v>
      </c>
      <c r="CX102" s="2" t="s">
        <v>154</v>
      </c>
      <c r="CY102" s="69" t="s">
        <v>154</v>
      </c>
      <c r="CZ102" s="2" t="s">
        <v>154</v>
      </c>
      <c r="DA102" s="2" t="s">
        <v>172</v>
      </c>
      <c r="DB102" s="2" t="s">
        <v>155</v>
      </c>
      <c r="DC102" s="2" t="s">
        <v>468</v>
      </c>
      <c r="DD102" s="2" t="s">
        <v>311</v>
      </c>
      <c r="DE102" s="2" t="s">
        <v>158</v>
      </c>
      <c r="DF102" s="2" t="s">
        <v>159</v>
      </c>
      <c r="DG102" s="2" t="s">
        <v>160</v>
      </c>
      <c r="DH102" s="2">
        <v>0</v>
      </c>
      <c r="DI102" s="2">
        <v>0</v>
      </c>
      <c r="DJ102" s="2">
        <v>0.4</v>
      </c>
      <c r="DK102" s="2">
        <v>0.5</v>
      </c>
      <c r="DL102" s="2">
        <v>0</v>
      </c>
      <c r="DM102" s="2">
        <v>0</v>
      </c>
      <c r="DN102" s="2">
        <f t="shared" si="71"/>
        <v>0.9</v>
      </c>
    </row>
    <row r="103" spans="1:126" s="26" customFormat="1" x14ac:dyDescent="0.25">
      <c r="A103" s="2" t="s">
        <v>552</v>
      </c>
      <c r="B103" s="25">
        <v>99</v>
      </c>
      <c r="C103" s="35">
        <v>43557</v>
      </c>
      <c r="D103" s="35">
        <v>43557</v>
      </c>
      <c r="E10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3" s="2">
        <v>4</v>
      </c>
      <c r="G103" s="2">
        <v>1</v>
      </c>
      <c r="H103" s="47">
        <f>WEEKNUM(tbSabana2016[[#This Row],[Fecha de Inicio]],15)</f>
        <v>14</v>
      </c>
      <c r="I103" s="36" t="str">
        <f>TEXT(tbSabana2016[[#This Row],[Fecha de Inicio]],"dddd")</f>
        <v>martes</v>
      </c>
      <c r="J103" s="36" t="str">
        <f>TEXT(tbSabana2016[[#This Row],[Fecha de Inicio]],"mmmm")</f>
        <v>abril</v>
      </c>
      <c r="K103" s="37" t="s">
        <v>143</v>
      </c>
      <c r="L103" s="23">
        <v>7</v>
      </c>
      <c r="M103" s="38" t="s">
        <v>405</v>
      </c>
      <c r="N103" s="38" t="s">
        <v>530</v>
      </c>
      <c r="O103" s="38" t="s">
        <v>569</v>
      </c>
      <c r="P103" s="38"/>
      <c r="Q103" s="47">
        <v>18</v>
      </c>
      <c r="R103" s="102">
        <v>56</v>
      </c>
      <c r="S103" s="105">
        <v>45.19</v>
      </c>
      <c r="T103" s="102">
        <v>99</v>
      </c>
      <c r="U103" s="102">
        <v>16</v>
      </c>
      <c r="V103" s="105">
        <v>20.58</v>
      </c>
      <c r="W10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45.19'' W 99° 16' 20.58''</v>
      </c>
      <c r="X103" s="44">
        <v>1753</v>
      </c>
      <c r="Y103" s="19">
        <v>0</v>
      </c>
      <c r="Z103" s="19">
        <v>0</v>
      </c>
      <c r="AA103" s="19">
        <v>0</v>
      </c>
      <c r="AB103" s="19">
        <v>3.34</v>
      </c>
      <c r="AC103" s="19">
        <v>2</v>
      </c>
      <c r="AD103" s="19">
        <v>0</v>
      </c>
      <c r="AE103" s="19">
        <f>SUM(tbSabana2016[[#This Row],[Arbolado Adulto (HA)]:[Suelo Orgánico (HA)]])</f>
        <v>5.34</v>
      </c>
      <c r="AF103" s="9">
        <f>SUM(AF102,AE103)</f>
        <v>858.57999999999959</v>
      </c>
      <c r="AG103" s="9">
        <f>tbSabana2016[[#This Row],[Acumulado (HA)]]/tbSabana2016[[#This Row],[Incendio en el AÑO]]</f>
        <v>8.672525252525249</v>
      </c>
      <c r="AH103" s="2" t="s">
        <v>147</v>
      </c>
      <c r="AI103" s="2" t="s">
        <v>165</v>
      </c>
      <c r="AJ103" s="2" t="s">
        <v>567</v>
      </c>
      <c r="AK103" s="2" t="s">
        <v>166</v>
      </c>
      <c r="AL103" s="2" t="s">
        <v>150</v>
      </c>
      <c r="AM103" s="2" t="s">
        <v>151</v>
      </c>
      <c r="AN103" s="32">
        <v>43557.520833333336</v>
      </c>
      <c r="AO103" s="32">
        <v>43557.524305555555</v>
      </c>
      <c r="AP103" s="32">
        <v>43557.527777777781</v>
      </c>
      <c r="AQ103" s="32">
        <v>43557.555555555555</v>
      </c>
      <c r="AR103" s="32">
        <v>43557.559027777781</v>
      </c>
      <c r="AS103" s="32"/>
      <c r="AT103" s="32">
        <v>43557.75</v>
      </c>
      <c r="AU103" s="32">
        <v>43557.819444444445</v>
      </c>
      <c r="AV103" s="32">
        <v>43557.861111111109</v>
      </c>
      <c r="AW103" s="40">
        <v>0.2986111111111111</v>
      </c>
      <c r="AX103" s="39">
        <v>3.472222222222222E-3</v>
      </c>
      <c r="AY103" s="39">
        <v>3.125E-2</v>
      </c>
      <c r="AZ103" s="40">
        <f>SUM(tbSabana2016[[#This Row],[Duración]])</f>
        <v>0.2986111111111111</v>
      </c>
      <c r="BA103" s="2">
        <v>0.6</v>
      </c>
      <c r="BB103" s="2">
        <v>1.5</v>
      </c>
      <c r="BC103" s="2">
        <v>0</v>
      </c>
      <c r="BD103" s="2">
        <v>0.3</v>
      </c>
      <c r="BE103" s="2">
        <v>0</v>
      </c>
      <c r="BF103" s="2">
        <v>0</v>
      </c>
      <c r="BG103" s="2">
        <v>2</v>
      </c>
      <c r="BH103" s="2">
        <v>0</v>
      </c>
      <c r="BI103" s="2">
        <v>0</v>
      </c>
      <c r="BJ103" s="2" t="s">
        <v>206</v>
      </c>
      <c r="BK103" s="2">
        <v>0</v>
      </c>
      <c r="BL103" s="2">
        <v>0</v>
      </c>
      <c r="BM103" s="2">
        <v>1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 t="s">
        <v>243</v>
      </c>
      <c r="BT103" s="2">
        <v>10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10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3">
        <f t="shared" ref="CN103:CN108" si="72">SUM(BT103:CM103)</f>
        <v>20</v>
      </c>
      <c r="CO103" s="10">
        <f t="shared" si="62"/>
        <v>1397</v>
      </c>
      <c r="CP103" s="10">
        <f t="shared" ref="CP103:CP108" si="73">SUM(BT103:CG103,CI103:CM103)</f>
        <v>20</v>
      </c>
      <c r="CQ103" s="24">
        <f>SUM(tbSabana2016[[#This Row],[Voluntarios]])</f>
        <v>0</v>
      </c>
      <c r="CR103" s="8">
        <f>tbSabana2016[[#This Row],[CONAFOR (Oficiales)]]*383</f>
        <v>3830</v>
      </c>
      <c r="CS103" s="8">
        <f>(tbSabana2016[[#This Row],[Total (Oficiales)]]-tbSabana2016[[#This Row],[CONAFOR (Oficiales)]])*217</f>
        <v>2170</v>
      </c>
      <c r="CT103" s="8">
        <f>SUM(tbSabana2016[[#This Row],[Costo CONAFOR]:[Costo Otros]])</f>
        <v>6000</v>
      </c>
      <c r="CU103" s="8">
        <v>266</v>
      </c>
      <c r="CV103" s="8">
        <f t="shared" ref="CV103:CV108" si="74">SUM(CT103:CU103)</f>
        <v>6266</v>
      </c>
      <c r="CW103" s="2" t="s">
        <v>154</v>
      </c>
      <c r="CX103" s="2" t="s">
        <v>154</v>
      </c>
      <c r="CY103" s="69" t="s">
        <v>154</v>
      </c>
      <c r="CZ103" s="2" t="s">
        <v>154</v>
      </c>
      <c r="DA103" s="2" t="s">
        <v>172</v>
      </c>
      <c r="DB103" s="2" t="s">
        <v>155</v>
      </c>
      <c r="DC103" s="2" t="s">
        <v>468</v>
      </c>
      <c r="DD103" s="2" t="s">
        <v>311</v>
      </c>
      <c r="DE103" s="2" t="s">
        <v>202</v>
      </c>
      <c r="DF103" s="2" t="s">
        <v>159</v>
      </c>
      <c r="DG103" s="2" t="s">
        <v>203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f t="shared" ref="DN103:DN108" si="75">SUM(DH103:DM103)</f>
        <v>0</v>
      </c>
      <c r="DO103" s="46"/>
      <c r="DP103" s="2"/>
      <c r="DQ103" s="2"/>
      <c r="DR103" s="2"/>
      <c r="DS103" s="2"/>
      <c r="DT103" s="2"/>
      <c r="DU103" s="2"/>
      <c r="DV103" s="2"/>
    </row>
    <row r="104" spans="1:126" x14ac:dyDescent="0.25">
      <c r="A104" s="2" t="s">
        <v>553</v>
      </c>
      <c r="B104" s="25">
        <v>100</v>
      </c>
      <c r="C104" s="35">
        <v>43558</v>
      </c>
      <c r="D104" s="35">
        <v>43558</v>
      </c>
      <c r="E10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4" s="2">
        <v>5</v>
      </c>
      <c r="G104" s="2">
        <v>1</v>
      </c>
      <c r="H104" s="47">
        <f>WEEKNUM(tbSabana2016[[#This Row],[Fecha de Inicio]],15)</f>
        <v>14</v>
      </c>
      <c r="I104" s="36" t="str">
        <f>TEXT(tbSabana2016[[#This Row],[Fecha de Inicio]],"dddd")</f>
        <v>miércoles</v>
      </c>
      <c r="J104" s="36" t="str">
        <f>TEXT(tbSabana2016[[#This Row],[Fecha de Inicio]],"mmmm")</f>
        <v>abril</v>
      </c>
      <c r="K104" s="37" t="s">
        <v>143</v>
      </c>
      <c r="L104" s="23">
        <v>7</v>
      </c>
      <c r="M104" s="38" t="s">
        <v>405</v>
      </c>
      <c r="N104" s="38" t="s">
        <v>530</v>
      </c>
      <c r="O104" s="38" t="s">
        <v>554</v>
      </c>
      <c r="P104" s="38"/>
      <c r="Q104" s="47">
        <v>18</v>
      </c>
      <c r="R104" s="102">
        <v>58</v>
      </c>
      <c r="S104" s="105">
        <v>46.48</v>
      </c>
      <c r="T104" s="102">
        <v>99</v>
      </c>
      <c r="U104" s="102">
        <v>16</v>
      </c>
      <c r="V104" s="105">
        <v>46.34</v>
      </c>
      <c r="W10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46.48'' W 99° 16' 46.34''</v>
      </c>
      <c r="X104" s="44">
        <v>2043</v>
      </c>
      <c r="Y104" s="19">
        <v>0</v>
      </c>
      <c r="Z104" s="19">
        <v>0</v>
      </c>
      <c r="AA104" s="19">
        <v>2.11</v>
      </c>
      <c r="AB104" s="19">
        <v>1</v>
      </c>
      <c r="AC104" s="19">
        <v>0.7</v>
      </c>
      <c r="AD104" s="19">
        <v>0</v>
      </c>
      <c r="AE104" s="19">
        <f>SUM(tbSabana2016[[#This Row],[Arbolado Adulto (HA)]:[Suelo Orgánico (HA)]])</f>
        <v>3.8099999999999996</v>
      </c>
      <c r="AF104" s="9">
        <f>SUM(AF103,AE104)</f>
        <v>862.38999999999953</v>
      </c>
      <c r="AG104" s="9">
        <f>tbSabana2016[[#This Row],[Acumulado (HA)]]/tbSabana2016[[#This Row],[Incendio en el AÑO]]</f>
        <v>8.6238999999999955</v>
      </c>
      <c r="AH104" s="2" t="s">
        <v>147</v>
      </c>
      <c r="AI104" s="2" t="s">
        <v>165</v>
      </c>
      <c r="AJ104" s="2" t="s">
        <v>134</v>
      </c>
      <c r="AK104" s="2" t="s">
        <v>200</v>
      </c>
      <c r="AL104" s="2" t="s">
        <v>150</v>
      </c>
      <c r="AM104" s="2" t="s">
        <v>151</v>
      </c>
      <c r="AN104" s="32">
        <v>43558.350694444445</v>
      </c>
      <c r="AO104" s="32">
        <v>43558.352777777778</v>
      </c>
      <c r="AP104" s="32">
        <v>43558.354166666664</v>
      </c>
      <c r="AQ104" s="32">
        <v>43558.368055555555</v>
      </c>
      <c r="AR104" s="32">
        <v>43558.402777777781</v>
      </c>
      <c r="AS104" s="32"/>
      <c r="AT104" s="32">
        <v>43558.666666666664</v>
      </c>
      <c r="AU104" s="32">
        <v>43558.716666666667</v>
      </c>
      <c r="AV104" s="32">
        <v>43558.791666666664</v>
      </c>
      <c r="AW104" s="40">
        <v>0.3659722222222222</v>
      </c>
      <c r="AX104" s="39">
        <v>2.0833333333333333E-3</v>
      </c>
      <c r="AY104" s="39">
        <v>1.5277777777777777E-2</v>
      </c>
      <c r="AZ104" s="40">
        <f>SUM(tbSabana2016[[#This Row],[Duración]])</f>
        <v>0.3659722222222222</v>
      </c>
      <c r="BA104" s="2">
        <v>0.2</v>
      </c>
      <c r="BB104" s="2">
        <v>0.18</v>
      </c>
      <c r="BC104" s="2">
        <v>0</v>
      </c>
      <c r="BD104" s="2">
        <v>0</v>
      </c>
      <c r="BE104" s="2">
        <v>0.1</v>
      </c>
      <c r="BF104" s="2">
        <v>0</v>
      </c>
      <c r="BG104" s="2">
        <v>0.1</v>
      </c>
      <c r="BH104" s="2">
        <v>0.2</v>
      </c>
      <c r="BI104" s="2">
        <v>0</v>
      </c>
      <c r="BJ104" s="2" t="s">
        <v>179</v>
      </c>
      <c r="BK104" s="2">
        <v>0</v>
      </c>
      <c r="BL104" s="2">
        <v>0</v>
      </c>
      <c r="BM104" s="2">
        <v>0</v>
      </c>
      <c r="BN104" s="2">
        <v>1</v>
      </c>
      <c r="BO104" s="2">
        <v>0</v>
      </c>
      <c r="BP104" s="2">
        <v>0</v>
      </c>
      <c r="BQ104" s="2">
        <v>0</v>
      </c>
      <c r="BR104" s="2">
        <v>0</v>
      </c>
      <c r="BS104" s="2" t="s">
        <v>46</v>
      </c>
      <c r="BT104" s="2">
        <v>7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25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3">
        <f t="shared" si="72"/>
        <v>32</v>
      </c>
      <c r="CO104" s="10">
        <f t="shared" si="62"/>
        <v>1429</v>
      </c>
      <c r="CP104" s="10">
        <f t="shared" si="73"/>
        <v>7</v>
      </c>
      <c r="CQ104" s="24">
        <f>SUM(tbSabana2016[[#This Row],[Voluntarios]])</f>
        <v>25</v>
      </c>
      <c r="CR104" s="8">
        <f>tbSabana2016[[#This Row],[CONAFOR (Oficiales)]]*383</f>
        <v>2681</v>
      </c>
      <c r="CS104" s="8">
        <f>(tbSabana2016[[#This Row],[Total (Oficiales)]]-tbSabana2016[[#This Row],[CONAFOR (Oficiales)]])*217</f>
        <v>5425</v>
      </c>
      <c r="CT104" s="8">
        <f>SUM(tbSabana2016[[#This Row],[Costo CONAFOR]:[Costo Otros]])</f>
        <v>8106</v>
      </c>
      <c r="CU104" s="8">
        <v>70.599999999999994</v>
      </c>
      <c r="CV104" s="8">
        <f t="shared" si="74"/>
        <v>8176.6</v>
      </c>
      <c r="CW104" s="2" t="s">
        <v>154</v>
      </c>
      <c r="CX104" s="2" t="s">
        <v>154</v>
      </c>
      <c r="CY104" s="69" t="s">
        <v>154</v>
      </c>
      <c r="CZ104" s="2" t="s">
        <v>154</v>
      </c>
      <c r="DA104" s="2" t="s">
        <v>172</v>
      </c>
      <c r="DB104" s="2" t="s">
        <v>155</v>
      </c>
      <c r="DC104" s="87" t="s">
        <v>156</v>
      </c>
      <c r="DD104" s="2" t="s">
        <v>157</v>
      </c>
      <c r="DE104" s="2" t="s">
        <v>202</v>
      </c>
      <c r="DF104" s="2" t="s">
        <v>159</v>
      </c>
      <c r="DG104" s="2" t="s">
        <v>203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f t="shared" si="75"/>
        <v>0</v>
      </c>
    </row>
    <row r="105" spans="1:126" x14ac:dyDescent="0.25">
      <c r="A105" s="2" t="s">
        <v>555</v>
      </c>
      <c r="B105" s="25">
        <v>101</v>
      </c>
      <c r="C105" s="35">
        <v>43558</v>
      </c>
      <c r="D105" s="35">
        <v>43558</v>
      </c>
      <c r="E10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5" s="2">
        <v>6</v>
      </c>
      <c r="G105" s="2">
        <v>1</v>
      </c>
      <c r="H105" s="47">
        <f>WEEKNUM(tbSabana2016[[#This Row],[Fecha de Inicio]],15)</f>
        <v>14</v>
      </c>
      <c r="I105" s="36" t="str">
        <f>TEXT(tbSabana2016[[#This Row],[Fecha de Inicio]],"dddd")</f>
        <v>miércoles</v>
      </c>
      <c r="J105" s="36" t="str">
        <f>TEXT(tbSabana2016[[#This Row],[Fecha de Inicio]],"mmmm")</f>
        <v>abril</v>
      </c>
      <c r="K105" s="37" t="s">
        <v>143</v>
      </c>
      <c r="L105" s="23">
        <v>20</v>
      </c>
      <c r="M105" s="38" t="s">
        <v>162</v>
      </c>
      <c r="N105" s="38" t="s">
        <v>163</v>
      </c>
      <c r="O105" s="38" t="s">
        <v>556</v>
      </c>
      <c r="P105" s="88"/>
      <c r="Q105" s="47">
        <v>18</v>
      </c>
      <c r="R105" s="102">
        <v>59</v>
      </c>
      <c r="S105" s="105">
        <v>3.65</v>
      </c>
      <c r="T105" s="102">
        <v>99</v>
      </c>
      <c r="U105" s="102">
        <v>9</v>
      </c>
      <c r="V105" s="105">
        <v>46.75</v>
      </c>
      <c r="W10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03.65'' W 99° 09' 46.75''</v>
      </c>
      <c r="X105" s="44">
        <v>1738</v>
      </c>
      <c r="Y105" s="19">
        <v>0</v>
      </c>
      <c r="Z105" s="19">
        <v>0</v>
      </c>
      <c r="AA105" s="19">
        <v>6</v>
      </c>
      <c r="AB105" s="19">
        <v>6</v>
      </c>
      <c r="AC105" s="19">
        <v>5.33</v>
      </c>
      <c r="AD105" s="19">
        <v>0</v>
      </c>
      <c r="AE105" s="19">
        <f>SUM(tbSabana2016[[#This Row],[Arbolado Adulto (HA)]:[Suelo Orgánico (HA)]])</f>
        <v>17.329999999999998</v>
      </c>
      <c r="AF105" s="9">
        <f>SUM(AF104,AE105)</f>
        <v>879.71999999999957</v>
      </c>
      <c r="AG105" s="9">
        <f>tbSabana2016[[#This Row],[Acumulado (HA)]]/tbSabana2016[[#This Row],[Incendio en el AÑO]]</f>
        <v>8.7100990099009863</v>
      </c>
      <c r="AH105" s="2" t="s">
        <v>147</v>
      </c>
      <c r="AI105" s="2" t="s">
        <v>165</v>
      </c>
      <c r="AJ105" s="2" t="s">
        <v>134</v>
      </c>
      <c r="AK105" s="2" t="s">
        <v>183</v>
      </c>
      <c r="AL105" s="2" t="s">
        <v>150</v>
      </c>
      <c r="AM105" s="2" t="s">
        <v>151</v>
      </c>
      <c r="AN105" s="32">
        <v>43558.506944444445</v>
      </c>
      <c r="AO105" s="32">
        <v>43558.513888888891</v>
      </c>
      <c r="AP105" s="32">
        <v>43558.520833333336</v>
      </c>
      <c r="AQ105" s="32">
        <v>43558.569444444445</v>
      </c>
      <c r="AR105" s="32">
        <v>43558.576388888891</v>
      </c>
      <c r="AS105" s="32"/>
      <c r="AT105" s="32">
        <v>43558.708333333336</v>
      </c>
      <c r="AU105" s="32">
        <v>43558.784722222219</v>
      </c>
      <c r="AV105" s="32"/>
      <c r="AW105" s="40">
        <v>0.27777777777777779</v>
      </c>
      <c r="AX105" s="39">
        <v>6.9444444444444441E-3</v>
      </c>
      <c r="AY105" s="39">
        <v>5.5555555555555552E-2</v>
      </c>
      <c r="AZ105" s="40">
        <f>SUM(tbSabana2016[[#This Row],[Duración]])</f>
        <v>0.27777777777777779</v>
      </c>
      <c r="BA105" s="2">
        <v>0.8</v>
      </c>
      <c r="BB105" s="2">
        <v>2</v>
      </c>
      <c r="BC105" s="2">
        <v>0</v>
      </c>
      <c r="BD105" s="2">
        <v>0</v>
      </c>
      <c r="BE105" s="2">
        <v>0.7</v>
      </c>
      <c r="BF105" s="2">
        <v>0</v>
      </c>
      <c r="BG105" s="2">
        <v>0.2</v>
      </c>
      <c r="BH105" s="2">
        <v>2.8</v>
      </c>
      <c r="BI105" s="2">
        <v>0</v>
      </c>
      <c r="BJ105" s="2" t="s">
        <v>176</v>
      </c>
      <c r="BK105" s="2">
        <v>1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 t="s">
        <v>544</v>
      </c>
      <c r="BT105" s="2">
        <v>7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5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3">
        <f t="shared" si="72"/>
        <v>12</v>
      </c>
      <c r="CO105" s="10">
        <f t="shared" si="62"/>
        <v>1441</v>
      </c>
      <c r="CP105" s="10">
        <f t="shared" si="73"/>
        <v>12</v>
      </c>
      <c r="CQ105" s="24">
        <f>SUM(tbSabana2016[[#This Row],[Voluntarios]])</f>
        <v>0</v>
      </c>
      <c r="CR105" s="8">
        <f>tbSabana2016[[#This Row],[CONAFOR (Oficiales)]]*383</f>
        <v>2681</v>
      </c>
      <c r="CS105" s="8">
        <f>(tbSabana2016[[#This Row],[Total (Oficiales)]]-tbSabana2016[[#This Row],[CONAFOR (Oficiales)]])*217</f>
        <v>1085</v>
      </c>
      <c r="CT105" s="8">
        <f>SUM(tbSabana2016[[#This Row],[Costo CONAFOR]:[Costo Otros]])</f>
        <v>3766</v>
      </c>
      <c r="CU105" s="8">
        <v>295.85000000000002</v>
      </c>
      <c r="CV105" s="8">
        <f t="shared" si="74"/>
        <v>4061.85</v>
      </c>
      <c r="CW105" s="2" t="s">
        <v>154</v>
      </c>
      <c r="CX105" s="2" t="s">
        <v>154</v>
      </c>
      <c r="CY105" s="69" t="s">
        <v>154</v>
      </c>
      <c r="CZ105" s="2" t="s">
        <v>154</v>
      </c>
      <c r="DA105" s="2" t="s">
        <v>172</v>
      </c>
      <c r="DB105" s="2" t="s">
        <v>155</v>
      </c>
      <c r="DC105" s="2" t="s">
        <v>491</v>
      </c>
      <c r="DD105" s="2" t="s">
        <v>492</v>
      </c>
      <c r="DE105" s="2" t="s">
        <v>170</v>
      </c>
      <c r="DF105" s="2" t="s">
        <v>159</v>
      </c>
      <c r="DG105" s="2" t="s">
        <v>475</v>
      </c>
      <c r="DH105" s="2">
        <v>0</v>
      </c>
      <c r="DI105" s="2">
        <v>0</v>
      </c>
      <c r="DJ105" s="2">
        <v>6</v>
      </c>
      <c r="DK105" s="2">
        <v>6</v>
      </c>
      <c r="DL105" s="2">
        <v>5.33</v>
      </c>
      <c r="DM105" s="2">
        <v>0</v>
      </c>
      <c r="DN105" s="2">
        <f t="shared" si="75"/>
        <v>17.329999999999998</v>
      </c>
    </row>
    <row r="106" spans="1:126" x14ac:dyDescent="0.25">
      <c r="A106" s="2" t="s">
        <v>561</v>
      </c>
      <c r="B106" s="25">
        <v>102</v>
      </c>
      <c r="C106" s="35">
        <v>43558</v>
      </c>
      <c r="D106" s="35">
        <v>43558</v>
      </c>
      <c r="E10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6" s="2">
        <v>7</v>
      </c>
      <c r="G106" s="2">
        <v>1</v>
      </c>
      <c r="H106" s="47">
        <f>WEEKNUM(tbSabana2016[[#This Row],[Fecha de Inicio]],15)</f>
        <v>14</v>
      </c>
      <c r="I106" s="36" t="str">
        <f>TEXT(tbSabana2016[[#This Row],[Fecha de Inicio]],"dddd")</f>
        <v>miércoles</v>
      </c>
      <c r="J106" s="36" t="str">
        <f>TEXT(tbSabana2016[[#This Row],[Fecha de Inicio]],"mmmm")</f>
        <v>abril</v>
      </c>
      <c r="K106" s="37" t="s">
        <v>143</v>
      </c>
      <c r="L106" s="23">
        <v>11</v>
      </c>
      <c r="M106" s="38" t="s">
        <v>564</v>
      </c>
      <c r="N106" s="38" t="s">
        <v>564</v>
      </c>
      <c r="O106" s="38" t="s">
        <v>565</v>
      </c>
      <c r="P106" s="88"/>
      <c r="Q106" s="47">
        <v>18</v>
      </c>
      <c r="R106" s="102">
        <v>52</v>
      </c>
      <c r="S106" s="105">
        <v>10.01</v>
      </c>
      <c r="T106" s="102">
        <v>99</v>
      </c>
      <c r="U106" s="102">
        <v>8</v>
      </c>
      <c r="V106" s="105">
        <v>33.200000000000003</v>
      </c>
      <c r="W10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52' 10.01'' W 99° 08' 33.20''</v>
      </c>
      <c r="X106" s="44">
        <v>1512</v>
      </c>
      <c r="Y106" s="19">
        <v>0</v>
      </c>
      <c r="Z106" s="19">
        <v>0</v>
      </c>
      <c r="AA106" s="19">
        <v>1.24</v>
      </c>
      <c r="AB106" s="19">
        <v>4</v>
      </c>
      <c r="AC106" s="19">
        <v>0</v>
      </c>
      <c r="AD106" s="19">
        <v>0</v>
      </c>
      <c r="AE106" s="19">
        <f>SUM(tbSabana2016[[#This Row],[Arbolado Adulto (HA)]:[Suelo Orgánico (HA)]])</f>
        <v>5.24</v>
      </c>
      <c r="AF106" s="9">
        <f>SUM(AF105,AE106)</f>
        <v>884.95999999999958</v>
      </c>
      <c r="AG106" s="9">
        <f>tbSabana2016[[#This Row],[Acumulado (HA)]]/tbSabana2016[[#This Row],[Incendio en el AÑO]]</f>
        <v>8.6760784313725452</v>
      </c>
      <c r="AH106" s="2" t="s">
        <v>147</v>
      </c>
      <c r="AI106" s="2" t="s">
        <v>283</v>
      </c>
      <c r="AJ106" s="2" t="s">
        <v>134</v>
      </c>
      <c r="AK106" s="2" t="s">
        <v>183</v>
      </c>
      <c r="AL106" s="2" t="s">
        <v>150</v>
      </c>
      <c r="AM106" s="2" t="s">
        <v>151</v>
      </c>
      <c r="AN106" s="32">
        <v>43558.552083333336</v>
      </c>
      <c r="AO106" s="32">
        <v>43558.555555555555</v>
      </c>
      <c r="AP106" s="32">
        <v>43558.583333333336</v>
      </c>
      <c r="AQ106" s="32">
        <v>43558.597222222219</v>
      </c>
      <c r="AR106" s="32">
        <v>43558.597222222219</v>
      </c>
      <c r="AS106" s="32"/>
      <c r="AT106" s="32">
        <v>43558.659722222219</v>
      </c>
      <c r="AU106" s="32">
        <v>43558.6875</v>
      </c>
      <c r="AV106" s="32">
        <v>43558.690972222219</v>
      </c>
      <c r="AW106" s="40">
        <v>0.13541666666666666</v>
      </c>
      <c r="AX106" s="39">
        <v>3.472222222222222E-3</v>
      </c>
      <c r="AY106" s="39">
        <v>4.1666666666666664E-2</v>
      </c>
      <c r="AZ106" s="40">
        <f>SUM(tbSabana2016[[#This Row],[Duración]])</f>
        <v>0.13541666666666666</v>
      </c>
      <c r="BA106" s="2">
        <v>0.3</v>
      </c>
      <c r="BB106" s="2">
        <v>0.8</v>
      </c>
      <c r="BC106" s="2">
        <v>0</v>
      </c>
      <c r="BD106" s="2">
        <v>0</v>
      </c>
      <c r="BE106" s="2">
        <v>0.4</v>
      </c>
      <c r="BF106" s="2">
        <v>0</v>
      </c>
      <c r="BG106" s="2">
        <v>0</v>
      </c>
      <c r="BH106" s="2">
        <v>1</v>
      </c>
      <c r="BI106" s="2">
        <v>0</v>
      </c>
      <c r="BJ106" s="2" t="s">
        <v>242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 t="s">
        <v>566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10</v>
      </c>
      <c r="CE106" s="2">
        <v>0</v>
      </c>
      <c r="CF106" s="2">
        <v>0</v>
      </c>
      <c r="CG106" s="2">
        <v>8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3">
        <f t="shared" si="72"/>
        <v>18</v>
      </c>
      <c r="CO106" s="10">
        <f t="shared" si="62"/>
        <v>1459</v>
      </c>
      <c r="CP106" s="10">
        <f t="shared" si="73"/>
        <v>18</v>
      </c>
      <c r="CQ106" s="24">
        <f>SUM(tbSabana2016[[#This Row],[Voluntarios]])</f>
        <v>0</v>
      </c>
      <c r="CR106" s="8">
        <f>tbSabana2016[[#This Row],[CONAFOR (Oficiales)]]*383</f>
        <v>0</v>
      </c>
      <c r="CS106" s="8">
        <f>(tbSabana2016[[#This Row],[Total (Oficiales)]]-tbSabana2016[[#This Row],[CONAFOR (Oficiales)]])*217</f>
        <v>3906</v>
      </c>
      <c r="CT106" s="8">
        <f>SUM(tbSabana2016[[#This Row],[Costo CONAFOR]:[Costo Otros]])</f>
        <v>3906</v>
      </c>
      <c r="CU106" s="8">
        <v>247</v>
      </c>
      <c r="CV106" s="8">
        <f t="shared" si="74"/>
        <v>4153</v>
      </c>
      <c r="CW106" s="2" t="s">
        <v>154</v>
      </c>
      <c r="CX106" s="2" t="s">
        <v>154</v>
      </c>
      <c r="CY106" s="69" t="s">
        <v>154</v>
      </c>
      <c r="CZ106" s="2" t="s">
        <v>154</v>
      </c>
      <c r="DA106" s="2" t="s">
        <v>172</v>
      </c>
      <c r="DB106" s="2" t="s">
        <v>155</v>
      </c>
      <c r="DC106" s="2" t="s">
        <v>168</v>
      </c>
      <c r="DD106" s="2" t="s">
        <v>169</v>
      </c>
      <c r="DE106" s="2" t="s">
        <v>267</v>
      </c>
      <c r="DF106" s="2" t="s">
        <v>159</v>
      </c>
      <c r="DG106" s="2" t="s">
        <v>268</v>
      </c>
      <c r="DH106" s="2">
        <v>0</v>
      </c>
      <c r="DI106" s="2">
        <v>0</v>
      </c>
      <c r="DJ106" s="2">
        <v>0</v>
      </c>
      <c r="DK106" s="2">
        <v>0.71</v>
      </c>
      <c r="DL106" s="2">
        <v>0</v>
      </c>
      <c r="DM106" s="2">
        <v>0</v>
      </c>
      <c r="DN106" s="2">
        <f t="shared" si="75"/>
        <v>0.71</v>
      </c>
    </row>
    <row r="107" spans="1:126" s="26" customFormat="1" x14ac:dyDescent="0.25">
      <c r="A107" s="2" t="s">
        <v>562</v>
      </c>
      <c r="B107" s="25">
        <v>103</v>
      </c>
      <c r="C107" s="35">
        <v>43558</v>
      </c>
      <c r="D107" s="35">
        <v>43563</v>
      </c>
      <c r="E107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07" s="2">
        <v>8</v>
      </c>
      <c r="G107" s="2">
        <v>1</v>
      </c>
      <c r="H107" s="47">
        <f>WEEKNUM(tbSabana2016[[#This Row],[Fecha de Inicio]],15)</f>
        <v>14</v>
      </c>
      <c r="I107" s="36" t="str">
        <f>TEXT(tbSabana2016[[#This Row],[Fecha de Inicio]],"dddd")</f>
        <v>miércoles</v>
      </c>
      <c r="J107" s="36" t="str">
        <f>TEXT(tbSabana2016[[#This Row],[Fecha de Inicio]],"mmmm")</f>
        <v>abril</v>
      </c>
      <c r="K107" s="37" t="s">
        <v>143</v>
      </c>
      <c r="L107" s="23">
        <v>7</v>
      </c>
      <c r="M107" s="38" t="s">
        <v>405</v>
      </c>
      <c r="N107" s="38" t="s">
        <v>604</v>
      </c>
      <c r="O107" s="38" t="s">
        <v>605</v>
      </c>
      <c r="P107" s="88"/>
      <c r="Q107" s="47">
        <v>18</v>
      </c>
      <c r="R107" s="102">
        <v>58</v>
      </c>
      <c r="S107" s="105">
        <v>57.7</v>
      </c>
      <c r="T107" s="102">
        <v>99</v>
      </c>
      <c r="U107" s="102">
        <v>17</v>
      </c>
      <c r="V107" s="105">
        <v>1.96</v>
      </c>
      <c r="W10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57.70'' W 99° 17' 01.96''</v>
      </c>
      <c r="X107" s="44">
        <v>2115</v>
      </c>
      <c r="Y107" s="19">
        <v>14</v>
      </c>
      <c r="Z107" s="19">
        <v>13</v>
      </c>
      <c r="AA107" s="19">
        <v>16</v>
      </c>
      <c r="AB107" s="19">
        <v>40.520000000000003</v>
      </c>
      <c r="AC107" s="19">
        <v>38</v>
      </c>
      <c r="AD107" s="19">
        <v>0</v>
      </c>
      <c r="AE107" s="19">
        <f>SUM(tbSabana2016[[#This Row],[Arbolado Adulto (HA)]:[Suelo Orgánico (HA)]])</f>
        <v>121.52000000000001</v>
      </c>
      <c r="AF107" s="9">
        <f t="shared" ref="AF107:AF119" si="76">SUM(AF106,AE107)</f>
        <v>1006.4799999999996</v>
      </c>
      <c r="AG107" s="9">
        <f>tbSabana2016[[#This Row],[Acumulado (HA)]]/tbSabana2016[[#This Row],[Incendio en el AÑO]]</f>
        <v>9.7716504854368882</v>
      </c>
      <c r="AH107" s="2" t="s">
        <v>147</v>
      </c>
      <c r="AI107" s="2" t="s">
        <v>165</v>
      </c>
      <c r="AJ107" s="2" t="s">
        <v>134</v>
      </c>
      <c r="AK107" s="2" t="s">
        <v>200</v>
      </c>
      <c r="AL107" s="2" t="s">
        <v>150</v>
      </c>
      <c r="AM107" s="2" t="s">
        <v>151</v>
      </c>
      <c r="AN107" s="32">
        <v>43558.760416666664</v>
      </c>
      <c r="AO107" s="32">
        <v>43558.763888888891</v>
      </c>
      <c r="AP107" s="32">
        <v>43559.354166666664</v>
      </c>
      <c r="AQ107" s="32">
        <v>43559.381944444445</v>
      </c>
      <c r="AR107" s="32">
        <v>43559.388888888891</v>
      </c>
      <c r="AS107" s="32">
        <v>43559.430555555555</v>
      </c>
      <c r="AT107" s="32">
        <v>43561.583333333336</v>
      </c>
      <c r="AU107" s="32">
        <v>43563.583333333336</v>
      </c>
      <c r="AV107" s="32">
        <v>43563.625</v>
      </c>
      <c r="AW107" s="40">
        <v>4.822916666666667</v>
      </c>
      <c r="AX107" s="39">
        <v>3.472222222222222E-3</v>
      </c>
      <c r="AY107" s="39">
        <v>0.61805555555555558</v>
      </c>
      <c r="AZ107" s="40">
        <f>SUM(tbSabana2016[[#This Row],[Duración]])</f>
        <v>4.822916666666667</v>
      </c>
      <c r="BA107" s="2">
        <v>1</v>
      </c>
      <c r="BB107" s="2">
        <v>5</v>
      </c>
      <c r="BC107" s="2">
        <v>2</v>
      </c>
      <c r="BD107" s="2">
        <v>0</v>
      </c>
      <c r="BE107" s="2">
        <v>1</v>
      </c>
      <c r="BF107" s="2">
        <v>0</v>
      </c>
      <c r="BG107" s="2">
        <v>0</v>
      </c>
      <c r="BH107" s="2">
        <v>7</v>
      </c>
      <c r="BI107" s="2">
        <v>0</v>
      </c>
      <c r="BJ107" s="2" t="s">
        <v>606</v>
      </c>
      <c r="BK107" s="2">
        <v>1</v>
      </c>
      <c r="BL107" s="2">
        <v>1</v>
      </c>
      <c r="BM107" s="2">
        <v>1</v>
      </c>
      <c r="BN107" s="2">
        <v>1</v>
      </c>
      <c r="BO107" s="2">
        <v>1</v>
      </c>
      <c r="BP107" s="2">
        <v>1</v>
      </c>
      <c r="BQ107" s="2">
        <v>1</v>
      </c>
      <c r="BR107" s="2">
        <v>1</v>
      </c>
      <c r="BS107" s="2" t="s">
        <v>607</v>
      </c>
      <c r="BT107" s="2">
        <v>113</v>
      </c>
      <c r="BU107" s="2">
        <v>0</v>
      </c>
      <c r="BV107" s="2">
        <v>0</v>
      </c>
      <c r="BW107" s="2">
        <v>0</v>
      </c>
      <c r="BX107" s="2">
        <v>0</v>
      </c>
      <c r="BY107" s="2">
        <v>22</v>
      </c>
      <c r="BZ107" s="2">
        <v>0</v>
      </c>
      <c r="CA107" s="2">
        <v>0</v>
      </c>
      <c r="CB107" s="2">
        <v>0</v>
      </c>
      <c r="CC107" s="2">
        <v>5</v>
      </c>
      <c r="CD107" s="2">
        <v>41</v>
      </c>
      <c r="CE107" s="2">
        <v>5</v>
      </c>
      <c r="CF107" s="2">
        <v>0</v>
      </c>
      <c r="CG107" s="2">
        <v>7</v>
      </c>
      <c r="CH107" s="2">
        <v>0</v>
      </c>
      <c r="CI107" s="2">
        <v>150</v>
      </c>
      <c r="CJ107" s="2">
        <v>0</v>
      </c>
      <c r="CK107" s="2">
        <v>0</v>
      </c>
      <c r="CL107" s="2">
        <v>0</v>
      </c>
      <c r="CM107" s="2">
        <v>0</v>
      </c>
      <c r="CN107" s="23">
        <f t="shared" si="72"/>
        <v>343</v>
      </c>
      <c r="CO107" s="10">
        <f t="shared" si="62"/>
        <v>1802</v>
      </c>
      <c r="CP107" s="10">
        <f t="shared" si="73"/>
        <v>343</v>
      </c>
      <c r="CQ107" s="24">
        <f>SUM(tbSabana2016[[#This Row],[Voluntarios]])</f>
        <v>0</v>
      </c>
      <c r="CR107" s="8">
        <f>tbSabana2016[[#This Row],[CONAFOR (Oficiales)]]*383</f>
        <v>43279</v>
      </c>
      <c r="CS107" s="8">
        <f>(tbSabana2016[[#This Row],[Total (Oficiales)]]-tbSabana2016[[#This Row],[CONAFOR (Oficiales)]])*217</f>
        <v>49910</v>
      </c>
      <c r="CT107" s="8">
        <f>SUM(tbSabana2016[[#This Row],[Costo CONAFOR]:[Costo Otros]])</f>
        <v>93189</v>
      </c>
      <c r="CU107" s="8">
        <v>2705</v>
      </c>
      <c r="CV107" s="8">
        <f t="shared" si="74"/>
        <v>95894</v>
      </c>
      <c r="CW107" s="2">
        <v>32</v>
      </c>
      <c r="CX107" s="2">
        <v>14</v>
      </c>
      <c r="CY107" s="69">
        <v>0.26</v>
      </c>
      <c r="CZ107" s="2" t="s">
        <v>174</v>
      </c>
      <c r="DA107" s="2" t="s">
        <v>457</v>
      </c>
      <c r="DB107" s="2" t="s">
        <v>631</v>
      </c>
      <c r="DC107" s="2" t="s">
        <v>278</v>
      </c>
      <c r="DD107" s="2" t="s">
        <v>279</v>
      </c>
      <c r="DE107" s="2" t="s">
        <v>158</v>
      </c>
      <c r="DF107" s="2" t="s">
        <v>159</v>
      </c>
      <c r="DG107" s="2" t="s">
        <v>160</v>
      </c>
      <c r="DH107" s="2">
        <v>0</v>
      </c>
      <c r="DI107" s="2">
        <v>0</v>
      </c>
      <c r="DJ107" s="2">
        <v>0</v>
      </c>
      <c r="DK107" s="2">
        <v>2.57</v>
      </c>
      <c r="DL107" s="2">
        <v>0</v>
      </c>
      <c r="DM107" s="2">
        <v>0</v>
      </c>
      <c r="DN107" s="2">
        <f t="shared" si="75"/>
        <v>2.57</v>
      </c>
      <c r="DO107" s="46"/>
      <c r="DP107" s="2"/>
      <c r="DQ107" s="2"/>
      <c r="DR107" s="2"/>
      <c r="DS107" s="2"/>
      <c r="DT107" s="2"/>
      <c r="DU107" s="2"/>
      <c r="DV107" s="2"/>
    </row>
    <row r="108" spans="1:126" x14ac:dyDescent="0.25">
      <c r="A108" s="2" t="s">
        <v>563</v>
      </c>
      <c r="B108" s="25">
        <v>104</v>
      </c>
      <c r="C108" s="35">
        <v>43561</v>
      </c>
      <c r="D108" s="35">
        <v>43561</v>
      </c>
      <c r="E10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8" s="2">
        <v>9</v>
      </c>
      <c r="G108" s="2">
        <v>1</v>
      </c>
      <c r="H108" s="47">
        <f>WEEKNUM(tbSabana2016[[#This Row],[Fecha de Inicio]],15)</f>
        <v>15</v>
      </c>
      <c r="I108" s="36" t="str">
        <f>TEXT(tbSabana2016[[#This Row],[Fecha de Inicio]],"dddd")</f>
        <v>sábado</v>
      </c>
      <c r="J108" s="36" t="str">
        <f>TEXT(tbSabana2016[[#This Row],[Fecha de Inicio]],"mmmm")</f>
        <v>abril</v>
      </c>
      <c r="K108" s="37" t="s">
        <v>143</v>
      </c>
      <c r="L108" s="23">
        <v>9</v>
      </c>
      <c r="M108" s="38" t="s">
        <v>144</v>
      </c>
      <c r="N108" s="38" t="s">
        <v>144</v>
      </c>
      <c r="O108" s="38" t="s">
        <v>485</v>
      </c>
      <c r="P108" s="88" t="s">
        <v>219</v>
      </c>
      <c r="Q108" s="47">
        <v>19</v>
      </c>
      <c r="R108" s="102">
        <v>0</v>
      </c>
      <c r="S108" s="105">
        <v>44.6</v>
      </c>
      <c r="T108" s="102">
        <v>99</v>
      </c>
      <c r="U108" s="102">
        <v>16</v>
      </c>
      <c r="V108" s="105">
        <v>2.5</v>
      </c>
      <c r="W10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44.60'' W 99° 16' 02.50''</v>
      </c>
      <c r="X108" s="44">
        <v>2336</v>
      </c>
      <c r="Y108" s="19">
        <v>0</v>
      </c>
      <c r="Z108" s="19">
        <v>0</v>
      </c>
      <c r="AA108" s="19">
        <v>0.2</v>
      </c>
      <c r="AB108" s="19">
        <v>0.4</v>
      </c>
      <c r="AC108" s="19">
        <v>0</v>
      </c>
      <c r="AD108" s="19">
        <v>0</v>
      </c>
      <c r="AE108" s="19">
        <f>SUM(tbSabana2016[[#This Row],[Arbolado Adulto (HA)]:[Suelo Orgánico (HA)]])</f>
        <v>0.60000000000000009</v>
      </c>
      <c r="AF108" s="9">
        <f t="shared" si="76"/>
        <v>1007.0799999999996</v>
      </c>
      <c r="AG108" s="9">
        <f>tbSabana2016[[#This Row],[Acumulado (HA)]]/tbSabana2016[[#This Row],[Incendio en el AÑO]]</f>
        <v>9.6834615384615343</v>
      </c>
      <c r="AH108" s="2" t="s">
        <v>147</v>
      </c>
      <c r="AI108" s="2" t="s">
        <v>165</v>
      </c>
      <c r="AJ108" s="2" t="s">
        <v>134</v>
      </c>
      <c r="AK108" s="2" t="s">
        <v>200</v>
      </c>
      <c r="AL108" s="2" t="s">
        <v>150</v>
      </c>
      <c r="AM108" s="2" t="s">
        <v>151</v>
      </c>
      <c r="AN108" s="32">
        <v>43561.649305555555</v>
      </c>
      <c r="AO108" s="32">
        <v>43561.652777777781</v>
      </c>
      <c r="AP108" s="32">
        <v>43561.65625</v>
      </c>
      <c r="AQ108" s="32">
        <v>43561.677083333336</v>
      </c>
      <c r="AR108" s="32">
        <v>43561.680555555555</v>
      </c>
      <c r="AS108" s="32"/>
      <c r="AT108" s="32">
        <v>43561.708333333336</v>
      </c>
      <c r="AU108" s="32">
        <v>43561.729166666664</v>
      </c>
      <c r="AV108" s="32">
        <v>43561.75</v>
      </c>
      <c r="AW108" s="40">
        <v>7.9861111111111105E-2</v>
      </c>
      <c r="AX108" s="39">
        <v>3.472222222222222E-3</v>
      </c>
      <c r="AY108" s="39">
        <v>2.4305555555555556E-2</v>
      </c>
      <c r="AZ108" s="40">
        <f>SUM(tbSabana2016[[#This Row],[Duración]])</f>
        <v>7.9861111111111105E-2</v>
      </c>
      <c r="BA108" s="2">
        <v>0.2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0.2</v>
      </c>
      <c r="BH108" s="2">
        <v>0.2</v>
      </c>
      <c r="BI108" s="2">
        <v>0</v>
      </c>
      <c r="BJ108" s="2" t="s">
        <v>181</v>
      </c>
      <c r="BK108" s="2">
        <v>0</v>
      </c>
      <c r="BL108" s="2">
        <v>1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T108" s="2">
        <v>9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3">
        <f t="shared" si="72"/>
        <v>9</v>
      </c>
      <c r="CO108" s="10">
        <f t="shared" si="62"/>
        <v>1811</v>
      </c>
      <c r="CP108" s="10">
        <f t="shared" si="73"/>
        <v>9</v>
      </c>
      <c r="CQ108" s="24">
        <f>SUM(tbSabana2016[[#This Row],[Voluntarios]])</f>
        <v>0</v>
      </c>
      <c r="CR108" s="8">
        <f>tbSabana2016[[#This Row],[CONAFOR (Oficiales)]]*383</f>
        <v>3447</v>
      </c>
      <c r="CS108" s="8">
        <f>(tbSabana2016[[#This Row],[Total (Oficiales)]]-tbSabana2016[[#This Row],[CONAFOR (Oficiales)]])*217</f>
        <v>0</v>
      </c>
      <c r="CT108" s="8">
        <f>SUM(tbSabana2016[[#This Row],[Costo CONAFOR]:[Costo Otros]])</f>
        <v>3447</v>
      </c>
      <c r="CU108" s="8">
        <v>114</v>
      </c>
      <c r="CV108" s="8">
        <f t="shared" si="74"/>
        <v>3561</v>
      </c>
      <c r="CW108" s="2" t="s">
        <v>154</v>
      </c>
      <c r="CX108" s="2" t="s">
        <v>154</v>
      </c>
      <c r="CY108" s="69" t="s">
        <v>154</v>
      </c>
      <c r="CZ108" s="2" t="s">
        <v>154</v>
      </c>
      <c r="DA108" s="2" t="s">
        <v>172</v>
      </c>
      <c r="DB108" s="2" t="s">
        <v>155</v>
      </c>
      <c r="DC108" s="2" t="s">
        <v>278</v>
      </c>
      <c r="DD108" s="2" t="s">
        <v>279</v>
      </c>
      <c r="DE108" s="2" t="s">
        <v>158</v>
      </c>
      <c r="DF108" s="2" t="s">
        <v>159</v>
      </c>
      <c r="DG108" s="2" t="s">
        <v>160</v>
      </c>
      <c r="DH108" s="2">
        <v>0</v>
      </c>
      <c r="DI108" s="2">
        <v>0</v>
      </c>
      <c r="DJ108" s="2">
        <v>0.2</v>
      </c>
      <c r="DK108" s="2">
        <v>0.4</v>
      </c>
      <c r="DL108" s="2">
        <v>0</v>
      </c>
      <c r="DM108" s="2">
        <v>0</v>
      </c>
      <c r="DN108" s="2">
        <f t="shared" si="75"/>
        <v>0.60000000000000009</v>
      </c>
    </row>
    <row r="109" spans="1:126" x14ac:dyDescent="0.25">
      <c r="A109" s="2" t="s">
        <v>570</v>
      </c>
      <c r="B109" s="25">
        <v>105</v>
      </c>
      <c r="C109" s="35">
        <v>43551</v>
      </c>
      <c r="D109" s="35">
        <v>43551</v>
      </c>
      <c r="E109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09" s="2">
        <v>90</v>
      </c>
      <c r="G109" s="2">
        <v>1</v>
      </c>
      <c r="H109" s="47">
        <f>WEEKNUM(tbSabana2016[[#This Row],[Fecha de Inicio]],15)</f>
        <v>13</v>
      </c>
      <c r="I109" s="36" t="str">
        <f>TEXT(tbSabana2016[[#This Row],[Fecha de Inicio]],"dddd")</f>
        <v>miércoles</v>
      </c>
      <c r="J109" s="36" t="str">
        <f>TEXT(tbSabana2016[[#This Row],[Fecha de Inicio]],"mmmm")</f>
        <v>marzo</v>
      </c>
      <c r="K109" s="37" t="s">
        <v>143</v>
      </c>
      <c r="L109" s="23">
        <v>20</v>
      </c>
      <c r="M109" s="38" t="s">
        <v>162</v>
      </c>
      <c r="N109" s="38" t="s">
        <v>269</v>
      </c>
      <c r="O109" s="38" t="s">
        <v>581</v>
      </c>
      <c r="P109" s="88"/>
      <c r="Q109" s="47">
        <v>19</v>
      </c>
      <c r="R109" s="102">
        <v>3</v>
      </c>
      <c r="S109" s="105">
        <v>13.09</v>
      </c>
      <c r="T109" s="102">
        <v>99</v>
      </c>
      <c r="U109" s="102">
        <v>5</v>
      </c>
      <c r="V109" s="105">
        <v>8.6300000000000008</v>
      </c>
      <c r="W10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13.09'' W 99° 05' 08.63''</v>
      </c>
      <c r="X109" s="44">
        <v>2966</v>
      </c>
      <c r="Y109" s="19">
        <v>0</v>
      </c>
      <c r="Z109" s="19">
        <v>0</v>
      </c>
      <c r="AA109" s="19">
        <v>0</v>
      </c>
      <c r="AB109" s="19">
        <v>0.9</v>
      </c>
      <c r="AC109" s="19">
        <v>0</v>
      </c>
      <c r="AD109" s="19">
        <v>0</v>
      </c>
      <c r="AE109" s="19">
        <f>SUM(tbSabana2016[[#This Row],[Arbolado Adulto (HA)]:[Suelo Orgánico (HA)]])</f>
        <v>0.9</v>
      </c>
      <c r="AF109" s="9">
        <f t="shared" si="76"/>
        <v>1007.9799999999996</v>
      </c>
      <c r="AG109" s="9">
        <f>tbSabana2016[[#This Row],[Acumulado (HA)]]/tbSabana2016[[#This Row],[Incendio en el AÑO]]</f>
        <v>9.5998095238095189</v>
      </c>
      <c r="AH109" s="2" t="s">
        <v>147</v>
      </c>
      <c r="AI109" s="2" t="s">
        <v>497</v>
      </c>
      <c r="AJ109" s="2" t="s">
        <v>133</v>
      </c>
      <c r="AK109" s="2" t="s">
        <v>149</v>
      </c>
      <c r="AL109" s="91" t="s">
        <v>150</v>
      </c>
      <c r="AM109" s="2" t="s">
        <v>151</v>
      </c>
      <c r="AN109" s="32">
        <v>43551.458333333336</v>
      </c>
      <c r="AO109" s="32">
        <v>43551.465277777781</v>
      </c>
      <c r="AP109" s="32">
        <v>43551.548611111109</v>
      </c>
      <c r="AQ109" s="32">
        <v>43551.611111111109</v>
      </c>
      <c r="AR109" s="32">
        <v>43551.614583333336</v>
      </c>
      <c r="AS109" s="32"/>
      <c r="AT109" s="32">
        <v>43551.715277777781</v>
      </c>
      <c r="AU109" s="32">
        <v>43551.736111111109</v>
      </c>
      <c r="AV109" s="32">
        <v>43551.826388888891</v>
      </c>
      <c r="AW109" s="40">
        <v>0.27777777777777779</v>
      </c>
      <c r="AX109" s="39">
        <v>6.9444444444444441E-3</v>
      </c>
      <c r="AY109" s="39">
        <v>0.14583333333333334</v>
      </c>
      <c r="AZ109" s="40">
        <f>SUM(tbSabana2016[[#This Row],[Duración]])</f>
        <v>0.27777777777777779</v>
      </c>
      <c r="BA109" s="2">
        <v>0.4</v>
      </c>
      <c r="BB109" s="2">
        <v>0.3</v>
      </c>
      <c r="BC109" s="2">
        <v>0</v>
      </c>
      <c r="BD109" s="2">
        <v>0</v>
      </c>
      <c r="BE109" s="2">
        <v>0</v>
      </c>
      <c r="BF109" s="2">
        <v>0</v>
      </c>
      <c r="BG109" s="2">
        <v>0.5</v>
      </c>
      <c r="BH109" s="2">
        <v>0.6</v>
      </c>
      <c r="BI109" s="2">
        <v>0</v>
      </c>
      <c r="BJ109" s="2" t="s">
        <v>582</v>
      </c>
      <c r="BK109" s="2">
        <v>0</v>
      </c>
      <c r="BL109" s="2">
        <v>0</v>
      </c>
      <c r="BM109" s="2">
        <v>0</v>
      </c>
      <c r="BN109" s="2">
        <v>0</v>
      </c>
      <c r="BO109" s="2">
        <v>1</v>
      </c>
      <c r="BP109" s="2">
        <v>0</v>
      </c>
      <c r="BQ109" s="2">
        <v>0</v>
      </c>
      <c r="BR109" s="2">
        <v>0</v>
      </c>
      <c r="BS109" s="2" t="s">
        <v>583</v>
      </c>
      <c r="BT109" s="2">
        <v>1</v>
      </c>
      <c r="BU109" s="2">
        <v>0</v>
      </c>
      <c r="BV109" s="2">
        <v>0</v>
      </c>
      <c r="BW109" s="2">
        <v>0</v>
      </c>
      <c r="BX109" s="2">
        <v>0</v>
      </c>
      <c r="BY109" s="2">
        <v>10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16</v>
      </c>
      <c r="CG109" s="2">
        <v>3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3">
        <f t="shared" ref="CN109:CN119" si="77">SUM(BT109:CM109)</f>
        <v>30</v>
      </c>
      <c r="CO109" s="10">
        <f t="shared" si="62"/>
        <v>1841</v>
      </c>
      <c r="CP109" s="10">
        <f t="shared" ref="CP109:CP119" si="78">SUM(BT109:CG109,CI109:CM109)</f>
        <v>30</v>
      </c>
      <c r="CQ109" s="24">
        <f>SUM(tbSabana2016[[#This Row],[Voluntarios]])</f>
        <v>0</v>
      </c>
      <c r="CR109" s="8">
        <f>tbSabana2016[[#This Row],[CONAFOR (Oficiales)]]*383</f>
        <v>383</v>
      </c>
      <c r="CS109" s="8">
        <f>(tbSabana2016[[#This Row],[Total (Oficiales)]]-tbSabana2016[[#This Row],[CONAFOR (Oficiales)]])*217</f>
        <v>6293</v>
      </c>
      <c r="CT109" s="8">
        <f>SUM(tbSabana2016[[#This Row],[Costo CONAFOR]:[Costo Otros]])</f>
        <v>6676</v>
      </c>
      <c r="CU109" s="8">
        <v>380</v>
      </c>
      <c r="CV109" s="8">
        <f t="shared" ref="CV109:CV119" si="79">SUM(CT109:CU109)</f>
        <v>7056</v>
      </c>
      <c r="CW109" s="2" t="s">
        <v>154</v>
      </c>
      <c r="CX109" s="2" t="s">
        <v>154</v>
      </c>
      <c r="CY109" s="69" t="s">
        <v>154</v>
      </c>
      <c r="CZ109" s="2" t="s">
        <v>154</v>
      </c>
      <c r="DA109" s="2" t="s">
        <v>172</v>
      </c>
      <c r="DB109" s="2" t="s">
        <v>155</v>
      </c>
      <c r="DC109" s="2" t="s">
        <v>256</v>
      </c>
      <c r="DD109" s="2" t="s">
        <v>257</v>
      </c>
      <c r="DE109" s="2" t="s">
        <v>170</v>
      </c>
      <c r="DF109" s="2" t="s">
        <v>159</v>
      </c>
      <c r="DG109" s="2" t="s">
        <v>475</v>
      </c>
      <c r="DH109" s="2">
        <v>0</v>
      </c>
      <c r="DI109" s="2">
        <v>0</v>
      </c>
      <c r="DJ109" s="2">
        <v>0</v>
      </c>
      <c r="DK109" s="2">
        <v>0.9</v>
      </c>
      <c r="DL109" s="2">
        <v>0</v>
      </c>
      <c r="DM109" s="2">
        <v>0</v>
      </c>
      <c r="DN109" s="2">
        <f t="shared" ref="DN109:DN119" si="80">SUM(DH109:DM109)</f>
        <v>0.9</v>
      </c>
    </row>
    <row r="110" spans="1:126" x14ac:dyDescent="0.25">
      <c r="A110" s="2" t="s">
        <v>571</v>
      </c>
      <c r="B110" s="25">
        <v>106</v>
      </c>
      <c r="C110" s="35">
        <v>43564</v>
      </c>
      <c r="D110" s="35">
        <v>43567</v>
      </c>
      <c r="E110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10" s="2">
        <v>10</v>
      </c>
      <c r="G110" s="2">
        <v>1</v>
      </c>
      <c r="H110" s="47">
        <f>WEEKNUM(tbSabana2016[[#This Row],[Fecha de Inicio]],15)</f>
        <v>15</v>
      </c>
      <c r="I110" s="36" t="str">
        <f>TEXT(tbSabana2016[[#This Row],[Fecha de Inicio]],"dddd")</f>
        <v>martes</v>
      </c>
      <c r="J110" s="36" t="str">
        <f>TEXT(tbSabana2016[[#This Row],[Fecha de Inicio]],"mmmm")</f>
        <v>abril</v>
      </c>
      <c r="K110" s="37" t="s">
        <v>143</v>
      </c>
      <c r="L110" s="23">
        <v>7</v>
      </c>
      <c r="M110" s="38" t="s">
        <v>405</v>
      </c>
      <c r="N110" s="38" t="s">
        <v>530</v>
      </c>
      <c r="O110" s="38" t="s">
        <v>584</v>
      </c>
      <c r="P110" s="88"/>
      <c r="Q110" s="47">
        <v>18</v>
      </c>
      <c r="R110" s="102">
        <v>59</v>
      </c>
      <c r="S110" s="105">
        <v>36.380000000000003</v>
      </c>
      <c r="T110" s="102">
        <v>99</v>
      </c>
      <c r="U110" s="102">
        <v>18</v>
      </c>
      <c r="V110" s="105">
        <v>3.24</v>
      </c>
      <c r="W11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36.38'' W 99° 18' 03.24''</v>
      </c>
      <c r="X110" s="44">
        <v>2388</v>
      </c>
      <c r="Y110" s="19">
        <v>0</v>
      </c>
      <c r="Z110" s="19">
        <v>10</v>
      </c>
      <c r="AA110" s="19">
        <v>14.54</v>
      </c>
      <c r="AB110" s="19">
        <v>11</v>
      </c>
      <c r="AC110" s="19">
        <v>11</v>
      </c>
      <c r="AD110" s="19">
        <v>0</v>
      </c>
      <c r="AE110" s="19">
        <f>SUM(tbSabana2016[[#This Row],[Arbolado Adulto (HA)]:[Suelo Orgánico (HA)]])</f>
        <v>46.54</v>
      </c>
      <c r="AF110" s="9">
        <f t="shared" si="76"/>
        <v>1054.5199999999995</v>
      </c>
      <c r="AG110" s="9">
        <f>tbSabana2016[[#This Row],[Acumulado (HA)]]/tbSabana2016[[#This Row],[Incendio en el AÑO]]</f>
        <v>9.9483018867924482</v>
      </c>
      <c r="AH110" s="2" t="s">
        <v>147</v>
      </c>
      <c r="AI110" s="2" t="s">
        <v>165</v>
      </c>
      <c r="AJ110" s="2" t="s">
        <v>135</v>
      </c>
      <c r="AK110" s="2" t="s">
        <v>266</v>
      </c>
      <c r="AL110" s="2" t="s">
        <v>150</v>
      </c>
      <c r="AM110" s="2" t="s">
        <v>151</v>
      </c>
      <c r="AN110" s="32">
        <v>43564.288194444445</v>
      </c>
      <c r="AO110" s="32">
        <v>43564.291666666664</v>
      </c>
      <c r="AP110" s="32">
        <v>43564.347222222219</v>
      </c>
      <c r="AQ110" s="32">
        <v>43564.368055555555</v>
      </c>
      <c r="AR110" s="32">
        <v>43564.375</v>
      </c>
      <c r="AS110" s="32">
        <v>43564.425694444442</v>
      </c>
      <c r="AT110" s="32">
        <v>43566.708333333336</v>
      </c>
      <c r="AU110" s="32">
        <v>43567.6875</v>
      </c>
      <c r="AV110" s="32"/>
      <c r="AW110" s="40">
        <v>3.3993055555555554</v>
      </c>
      <c r="AX110" s="39">
        <v>3.472222222222222E-3</v>
      </c>
      <c r="AY110" s="39">
        <v>7.6388888888888895E-2</v>
      </c>
      <c r="AZ110" s="40">
        <f>SUM(tbSabana2016[[#This Row],[Duración]])</f>
        <v>3.3993055555555554</v>
      </c>
      <c r="BA110" s="2">
        <v>0.8</v>
      </c>
      <c r="BB110" s="2">
        <v>3</v>
      </c>
      <c r="BC110" s="2">
        <v>1</v>
      </c>
      <c r="BD110" s="2">
        <v>0</v>
      </c>
      <c r="BE110" s="2">
        <v>1</v>
      </c>
      <c r="BF110" s="2">
        <v>0</v>
      </c>
      <c r="BG110" s="2">
        <v>0</v>
      </c>
      <c r="BH110" s="2">
        <v>4</v>
      </c>
      <c r="BI110" s="2">
        <v>0</v>
      </c>
      <c r="BJ110" s="2" t="s">
        <v>585</v>
      </c>
      <c r="BK110" s="2">
        <v>1</v>
      </c>
      <c r="BL110" s="2">
        <v>1</v>
      </c>
      <c r="BM110" s="2">
        <v>1</v>
      </c>
      <c r="BN110" s="2">
        <v>1</v>
      </c>
      <c r="BO110" s="2">
        <v>0</v>
      </c>
      <c r="BP110" s="2">
        <v>0</v>
      </c>
      <c r="BQ110" s="2">
        <v>0</v>
      </c>
      <c r="BR110" s="2">
        <v>0</v>
      </c>
      <c r="BS110" s="2" t="s">
        <v>593</v>
      </c>
      <c r="BT110" s="2">
        <v>50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44</v>
      </c>
      <c r="CE110" s="2">
        <v>2</v>
      </c>
      <c r="CF110" s="2">
        <v>0</v>
      </c>
      <c r="CG110" s="2">
        <v>0</v>
      </c>
      <c r="CH110" s="2">
        <v>35</v>
      </c>
      <c r="CI110" s="2">
        <v>22</v>
      </c>
      <c r="CJ110" s="2">
        <v>0</v>
      </c>
      <c r="CK110" s="2">
        <v>0</v>
      </c>
      <c r="CL110" s="2">
        <v>0</v>
      </c>
      <c r="CM110" s="2">
        <v>0</v>
      </c>
      <c r="CN110" s="23">
        <f t="shared" si="77"/>
        <v>153</v>
      </c>
      <c r="CO110" s="10">
        <f t="shared" si="62"/>
        <v>1994</v>
      </c>
      <c r="CP110" s="10">
        <f t="shared" si="78"/>
        <v>118</v>
      </c>
      <c r="CQ110" s="24">
        <f>SUM(tbSabana2016[[#This Row],[Voluntarios]])</f>
        <v>35</v>
      </c>
      <c r="CR110" s="8">
        <f>tbSabana2016[[#This Row],[CONAFOR (Oficiales)]]*383</f>
        <v>19150</v>
      </c>
      <c r="CS110" s="8">
        <f>(tbSabana2016[[#This Row],[Total (Oficiales)]]-tbSabana2016[[#This Row],[CONAFOR (Oficiales)]])*217</f>
        <v>22351</v>
      </c>
      <c r="CT110" s="8">
        <f>SUM(tbSabana2016[[#This Row],[Costo CONAFOR]:[Costo Otros]])</f>
        <v>41501</v>
      </c>
      <c r="CU110" s="8">
        <v>1900</v>
      </c>
      <c r="CV110" s="8">
        <f t="shared" si="79"/>
        <v>43401</v>
      </c>
      <c r="CW110" s="2">
        <v>18</v>
      </c>
      <c r="CX110" s="2">
        <v>0</v>
      </c>
      <c r="CY110" s="69">
        <v>0.48</v>
      </c>
      <c r="CZ110" s="2" t="s">
        <v>586</v>
      </c>
      <c r="DA110" s="2" t="s">
        <v>172</v>
      </c>
      <c r="DB110" s="2" t="s">
        <v>155</v>
      </c>
      <c r="DC110" s="2" t="s">
        <v>278</v>
      </c>
      <c r="DD110" s="2" t="s">
        <v>279</v>
      </c>
      <c r="DE110" s="2" t="s">
        <v>158</v>
      </c>
      <c r="DF110" s="2" t="s">
        <v>159</v>
      </c>
      <c r="DG110" s="2" t="s">
        <v>160</v>
      </c>
      <c r="DH110" s="2">
        <v>0</v>
      </c>
      <c r="DI110" s="2">
        <v>6</v>
      </c>
      <c r="DJ110" s="2">
        <v>12.54</v>
      </c>
      <c r="DK110" s="2">
        <v>7</v>
      </c>
      <c r="DL110" s="2">
        <v>7</v>
      </c>
      <c r="DM110" s="2">
        <v>0</v>
      </c>
      <c r="DN110" s="2">
        <f t="shared" si="80"/>
        <v>32.54</v>
      </c>
    </row>
    <row r="111" spans="1:126" x14ac:dyDescent="0.25">
      <c r="A111" s="2" t="s">
        <v>572</v>
      </c>
      <c r="B111" s="25">
        <v>107</v>
      </c>
      <c r="C111" s="35">
        <v>43566</v>
      </c>
      <c r="D111" s="35">
        <v>43566</v>
      </c>
      <c r="E111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11" s="2">
        <v>11</v>
      </c>
      <c r="G111" s="2">
        <v>1</v>
      </c>
      <c r="H111" s="47">
        <f>WEEKNUM(tbSabana2016[[#This Row],[Fecha de Inicio]],15)</f>
        <v>15</v>
      </c>
      <c r="I111" s="36" t="str">
        <f>TEXT(tbSabana2016[[#This Row],[Fecha de Inicio]],"dddd")</f>
        <v>jueves</v>
      </c>
      <c r="J111" s="36" t="str">
        <f>TEXT(tbSabana2016[[#This Row],[Fecha de Inicio]],"mmmm")</f>
        <v>abril</v>
      </c>
      <c r="K111" s="37" t="s">
        <v>143</v>
      </c>
      <c r="L111" s="23">
        <v>9</v>
      </c>
      <c r="M111" s="38" t="s">
        <v>144</v>
      </c>
      <c r="N111" s="38" t="s">
        <v>144</v>
      </c>
      <c r="O111" s="38" t="s">
        <v>474</v>
      </c>
      <c r="P111" s="88" t="s">
        <v>182</v>
      </c>
      <c r="Q111" s="47">
        <v>19</v>
      </c>
      <c r="R111" s="102">
        <v>3</v>
      </c>
      <c r="S111" s="105">
        <v>4.1100000000000003</v>
      </c>
      <c r="T111" s="102">
        <v>99</v>
      </c>
      <c r="U111" s="102">
        <v>16</v>
      </c>
      <c r="V111" s="105">
        <v>21.64</v>
      </c>
      <c r="W11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04.11'' W 99° 16' 21.64''</v>
      </c>
      <c r="X111" s="44">
        <v>2754</v>
      </c>
      <c r="Y111" s="19">
        <v>0</v>
      </c>
      <c r="Z111" s="19">
        <v>0</v>
      </c>
      <c r="AA111" s="19">
        <v>2</v>
      </c>
      <c r="AB111" s="19">
        <v>6.97</v>
      </c>
      <c r="AC111" s="19">
        <v>0</v>
      </c>
      <c r="AD111" s="19">
        <v>0</v>
      </c>
      <c r="AE111" s="19">
        <f>SUM(tbSabana2016[[#This Row],[Arbolado Adulto (HA)]:[Suelo Orgánico (HA)]])</f>
        <v>8.9699999999999989</v>
      </c>
      <c r="AF111" s="9">
        <f t="shared" si="76"/>
        <v>1063.4899999999996</v>
      </c>
      <c r="AG111" s="9">
        <f>tbSabana2016[[#This Row],[Acumulado (HA)]]/tbSabana2016[[#This Row],[Incendio en el AÑO]]</f>
        <v>9.9391588785046689</v>
      </c>
      <c r="AH111" s="2" t="s">
        <v>147</v>
      </c>
      <c r="AI111" s="2" t="s">
        <v>165</v>
      </c>
      <c r="AJ111" s="2" t="s">
        <v>134</v>
      </c>
      <c r="AK111" s="2" t="s">
        <v>200</v>
      </c>
      <c r="AL111" s="2" t="s">
        <v>150</v>
      </c>
      <c r="AM111" s="2" t="s">
        <v>151</v>
      </c>
      <c r="AN111" s="32">
        <v>43566.527777777781</v>
      </c>
      <c r="AO111" s="32">
        <v>43566.529861111114</v>
      </c>
      <c r="AP111" s="32">
        <v>43566.53125</v>
      </c>
      <c r="AQ111" s="32">
        <v>43566.5625</v>
      </c>
      <c r="AR111" s="32">
        <v>43566.563888888886</v>
      </c>
      <c r="AS111" s="32"/>
      <c r="AT111" s="32">
        <v>43566.708333333336</v>
      </c>
      <c r="AU111" s="32">
        <v>43566.75</v>
      </c>
      <c r="AV111" s="32">
        <v>43566.791666666664</v>
      </c>
      <c r="AW111" s="40">
        <v>0.22222222222222221</v>
      </c>
      <c r="AX111" s="39">
        <v>2.0833333333333333E-3</v>
      </c>
      <c r="AY111" s="39">
        <v>3.2638888888888891E-2</v>
      </c>
      <c r="AZ111" s="40">
        <f>SUM(tbSabana2016[[#This Row],[Duración]])</f>
        <v>0.22222222222222221</v>
      </c>
      <c r="BA111" s="2">
        <v>0.5</v>
      </c>
      <c r="BB111" s="2">
        <v>0.8</v>
      </c>
      <c r="BC111" s="2">
        <v>0</v>
      </c>
      <c r="BD111" s="2">
        <v>0</v>
      </c>
      <c r="BE111" s="2">
        <v>0.15</v>
      </c>
      <c r="BF111" s="2">
        <v>0</v>
      </c>
      <c r="BG111" s="2">
        <v>0.8</v>
      </c>
      <c r="BH111" s="2">
        <v>1</v>
      </c>
      <c r="BI111" s="2">
        <v>0</v>
      </c>
      <c r="BJ111" s="2" t="s">
        <v>329</v>
      </c>
      <c r="BK111" s="2">
        <v>0</v>
      </c>
      <c r="BL111" s="2">
        <v>0</v>
      </c>
      <c r="BM111" s="2">
        <v>0</v>
      </c>
      <c r="BN111" s="2">
        <v>1</v>
      </c>
      <c r="BO111" s="2">
        <v>0</v>
      </c>
      <c r="BP111" s="2">
        <v>0</v>
      </c>
      <c r="BQ111" s="2">
        <v>0</v>
      </c>
      <c r="BR111" s="2">
        <v>0</v>
      </c>
      <c r="BT111" s="2">
        <v>9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3">
        <f t="shared" si="77"/>
        <v>9</v>
      </c>
      <c r="CO111" s="10">
        <f t="shared" si="62"/>
        <v>2003</v>
      </c>
      <c r="CP111" s="10">
        <f t="shared" si="78"/>
        <v>9</v>
      </c>
      <c r="CQ111" s="24">
        <f>SUM(tbSabana2016[[#This Row],[Voluntarios]])</f>
        <v>0</v>
      </c>
      <c r="CR111" s="8">
        <f>tbSabana2016[[#This Row],[CONAFOR (Oficiales)]]*383</f>
        <v>3447</v>
      </c>
      <c r="CS111" s="8">
        <f>(tbSabana2016[[#This Row],[Total (Oficiales)]]-tbSabana2016[[#This Row],[CONAFOR (Oficiales)]])*217</f>
        <v>0</v>
      </c>
      <c r="CT111" s="8">
        <f>SUM(tbSabana2016[[#This Row],[Costo CONAFOR]:[Costo Otros]])</f>
        <v>3447</v>
      </c>
      <c r="CU111" s="8">
        <v>114</v>
      </c>
      <c r="CV111" s="8">
        <f t="shared" si="79"/>
        <v>3561</v>
      </c>
      <c r="CW111" s="2" t="s">
        <v>154</v>
      </c>
      <c r="CX111" s="2" t="s">
        <v>154</v>
      </c>
      <c r="CY111" s="69" t="s">
        <v>154</v>
      </c>
      <c r="CZ111" s="2" t="s">
        <v>154</v>
      </c>
      <c r="DA111" s="2" t="s">
        <v>172</v>
      </c>
      <c r="DB111" s="2" t="s">
        <v>155</v>
      </c>
      <c r="DC111" s="2" t="s">
        <v>278</v>
      </c>
      <c r="DD111" s="2" t="s">
        <v>279</v>
      </c>
      <c r="DE111" s="2" t="s">
        <v>158</v>
      </c>
      <c r="DF111" s="2" t="s">
        <v>159</v>
      </c>
      <c r="DG111" s="2" t="s">
        <v>160</v>
      </c>
      <c r="DH111" s="2">
        <v>0</v>
      </c>
      <c r="DI111" s="2">
        <v>0</v>
      </c>
      <c r="DJ111" s="2">
        <v>2</v>
      </c>
      <c r="DK111" s="2">
        <v>6.97</v>
      </c>
      <c r="DL111" s="2">
        <v>0</v>
      </c>
      <c r="DM111" s="2">
        <v>0</v>
      </c>
      <c r="DN111" s="2">
        <f t="shared" si="80"/>
        <v>8.9699999999999989</v>
      </c>
    </row>
    <row r="112" spans="1:126" s="26" customFormat="1" x14ac:dyDescent="0.25">
      <c r="A112" s="2" t="s">
        <v>573</v>
      </c>
      <c r="B112" s="25">
        <v>108</v>
      </c>
      <c r="C112" s="35">
        <v>43567</v>
      </c>
      <c r="D112" s="35">
        <v>43570</v>
      </c>
      <c r="E112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12" s="2">
        <v>12</v>
      </c>
      <c r="G112" s="2">
        <v>1</v>
      </c>
      <c r="H112" s="47">
        <f>WEEKNUM(tbSabana2016[[#This Row],[Fecha de Inicio]],15)</f>
        <v>16</v>
      </c>
      <c r="I112" s="36" t="str">
        <f>TEXT(tbSabana2016[[#This Row],[Fecha de Inicio]],"dddd")</f>
        <v>viernes</v>
      </c>
      <c r="J112" s="36" t="str">
        <f>TEXT(tbSabana2016[[#This Row],[Fecha de Inicio]],"mmmm")</f>
        <v>abril</v>
      </c>
      <c r="K112" s="37" t="s">
        <v>143</v>
      </c>
      <c r="L112" s="23">
        <v>23</v>
      </c>
      <c r="M112" s="38" t="s">
        <v>123</v>
      </c>
      <c r="N112" s="38" t="s">
        <v>123</v>
      </c>
      <c r="O112" s="38" t="s">
        <v>587</v>
      </c>
      <c r="P112" s="88"/>
      <c r="Q112" s="47">
        <v>19</v>
      </c>
      <c r="R112" s="102">
        <v>3</v>
      </c>
      <c r="S112" s="105">
        <v>5.62</v>
      </c>
      <c r="T112" s="102">
        <v>98</v>
      </c>
      <c r="U112" s="102">
        <v>59</v>
      </c>
      <c r="V112" s="105">
        <v>15.21</v>
      </c>
      <c r="W11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05.62'' W 98° 59' 15.21''</v>
      </c>
      <c r="X112" s="44">
        <v>2745</v>
      </c>
      <c r="Y112" s="19">
        <v>0</v>
      </c>
      <c r="Z112" s="19">
        <v>0</v>
      </c>
      <c r="AA112" s="19">
        <v>144.6</v>
      </c>
      <c r="AB112" s="19">
        <v>241.93</v>
      </c>
      <c r="AC112" s="19">
        <v>96.4</v>
      </c>
      <c r="AD112" s="19">
        <v>0</v>
      </c>
      <c r="AE112" s="19">
        <f>SUM(tbSabana2016[[#This Row],[Arbolado Adulto (HA)]:[Suelo Orgánico (HA)]])</f>
        <v>482.92999999999995</v>
      </c>
      <c r="AF112" s="9">
        <f t="shared" si="76"/>
        <v>1546.4199999999996</v>
      </c>
      <c r="AG112" s="9">
        <f>tbSabana2016[[#This Row],[Acumulado (HA)]]/tbSabana2016[[#This Row],[Incendio en el AÑO]]</f>
        <v>14.318703703703701</v>
      </c>
      <c r="AH112" s="2" t="s">
        <v>147</v>
      </c>
      <c r="AI112" s="2" t="s">
        <v>165</v>
      </c>
      <c r="AJ112" s="2" t="s">
        <v>139</v>
      </c>
      <c r="AK112" s="2" t="s">
        <v>166</v>
      </c>
      <c r="AL112" s="2" t="s">
        <v>150</v>
      </c>
      <c r="AM112" s="2" t="s">
        <v>205</v>
      </c>
      <c r="AN112" s="32">
        <v>43567.375</v>
      </c>
      <c r="AO112" s="32">
        <v>43567.378472222219</v>
      </c>
      <c r="AP112" s="32">
        <v>43567.381944444445</v>
      </c>
      <c r="AQ112" s="32">
        <v>43567.402777777781</v>
      </c>
      <c r="AR112" s="32">
        <v>43567.409722222219</v>
      </c>
      <c r="AS112" s="32">
        <v>43567.5625</v>
      </c>
      <c r="AT112" s="32">
        <v>43569.625</v>
      </c>
      <c r="AU112" s="32">
        <v>43570.708333333336</v>
      </c>
      <c r="AV112" s="32">
        <v>43570.916666666664</v>
      </c>
      <c r="AW112" s="40">
        <v>3.3333333333333335</v>
      </c>
      <c r="AX112" s="39">
        <v>3.472222222222222E-3</v>
      </c>
      <c r="AY112" s="39">
        <v>2.4305555555555556E-2</v>
      </c>
      <c r="AZ112" s="40">
        <f>SUM(tbSabana2016[[#This Row],[Duración]])</f>
        <v>3.3333333333333335</v>
      </c>
      <c r="BA112" s="2">
        <v>3</v>
      </c>
      <c r="BB112" s="2">
        <v>7</v>
      </c>
      <c r="BC112" s="2">
        <v>2</v>
      </c>
      <c r="BD112" s="2">
        <v>0</v>
      </c>
      <c r="BE112" s="2">
        <v>2</v>
      </c>
      <c r="BF112" s="2">
        <v>0</v>
      </c>
      <c r="BG112" s="2">
        <v>2</v>
      </c>
      <c r="BH112" s="2">
        <v>16</v>
      </c>
      <c r="BI112" s="2">
        <v>0</v>
      </c>
      <c r="BJ112" s="2" t="s">
        <v>585</v>
      </c>
      <c r="BK112" s="2">
        <v>0</v>
      </c>
      <c r="BL112" s="2">
        <v>1</v>
      </c>
      <c r="BM112" s="2">
        <v>1</v>
      </c>
      <c r="BN112" s="2">
        <v>1</v>
      </c>
      <c r="BO112" s="2">
        <v>0</v>
      </c>
      <c r="BP112" s="2">
        <v>1</v>
      </c>
      <c r="BQ112" s="2">
        <v>0</v>
      </c>
      <c r="BR112" s="2">
        <v>0</v>
      </c>
      <c r="BS112" s="2" t="s">
        <v>588</v>
      </c>
      <c r="BT112" s="2">
        <v>64</v>
      </c>
      <c r="BU112" s="2">
        <v>0</v>
      </c>
      <c r="BV112" s="2">
        <v>0</v>
      </c>
      <c r="BW112" s="2">
        <v>0</v>
      </c>
      <c r="BX112" s="2">
        <v>0</v>
      </c>
      <c r="BY112" s="2">
        <v>50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12</v>
      </c>
      <c r="CG112" s="2">
        <v>18</v>
      </c>
      <c r="CH112" s="2">
        <v>0</v>
      </c>
      <c r="CI112" s="2">
        <v>7</v>
      </c>
      <c r="CJ112" s="2">
        <v>0</v>
      </c>
      <c r="CK112" s="2">
        <v>0</v>
      </c>
      <c r="CL112" s="2">
        <v>0</v>
      </c>
      <c r="CM112" s="2">
        <v>0</v>
      </c>
      <c r="CN112" s="23">
        <f t="shared" si="77"/>
        <v>151</v>
      </c>
      <c r="CO112" s="10">
        <f t="shared" si="62"/>
        <v>2154</v>
      </c>
      <c r="CP112" s="10">
        <f t="shared" si="78"/>
        <v>151</v>
      </c>
      <c r="CQ112" s="24">
        <f>SUM(tbSabana2016[[#This Row],[Voluntarios]])</f>
        <v>0</v>
      </c>
      <c r="CR112" s="8">
        <f>tbSabana2016[[#This Row],[CONAFOR (Oficiales)]]*383</f>
        <v>24512</v>
      </c>
      <c r="CS112" s="8">
        <f>(tbSabana2016[[#This Row],[Total (Oficiales)]]-tbSabana2016[[#This Row],[CONAFOR (Oficiales)]])*217</f>
        <v>18879</v>
      </c>
      <c r="CT112" s="8">
        <f>SUM(tbSabana2016[[#This Row],[Costo CONAFOR]:[Costo Otros]])</f>
        <v>43391</v>
      </c>
      <c r="CU112" s="8">
        <v>2470</v>
      </c>
      <c r="CV112" s="8">
        <f t="shared" si="79"/>
        <v>45861</v>
      </c>
      <c r="CW112" s="2" t="s">
        <v>154</v>
      </c>
      <c r="CX112" s="2" t="s">
        <v>154</v>
      </c>
      <c r="CY112" s="69" t="s">
        <v>154</v>
      </c>
      <c r="CZ112" s="2" t="s">
        <v>154</v>
      </c>
      <c r="DA112" s="2" t="s">
        <v>172</v>
      </c>
      <c r="DB112" s="2" t="s">
        <v>155</v>
      </c>
      <c r="DC112" s="2" t="s">
        <v>468</v>
      </c>
      <c r="DD112" s="2" t="s">
        <v>311</v>
      </c>
      <c r="DE112" s="2" t="s">
        <v>158</v>
      </c>
      <c r="DF112" s="2" t="s">
        <v>159</v>
      </c>
      <c r="DG112" s="2" t="s">
        <v>160</v>
      </c>
      <c r="DH112" s="2">
        <v>0</v>
      </c>
      <c r="DI112" s="2">
        <v>0</v>
      </c>
      <c r="DJ112" s="2">
        <v>144.6</v>
      </c>
      <c r="DK112" s="2">
        <v>241.93</v>
      </c>
      <c r="DL112" s="2">
        <v>96.4</v>
      </c>
      <c r="DM112" s="2">
        <v>0</v>
      </c>
      <c r="DN112" s="2">
        <f t="shared" si="80"/>
        <v>482.92999999999995</v>
      </c>
      <c r="DO112" s="46"/>
      <c r="DP112" s="2"/>
      <c r="DQ112" s="2"/>
      <c r="DR112" s="2"/>
      <c r="DS112" s="2"/>
      <c r="DT112" s="2"/>
      <c r="DU112" s="2"/>
      <c r="DV112" s="2"/>
    </row>
    <row r="113" spans="1:126" x14ac:dyDescent="0.25">
      <c r="A113" s="2" t="s">
        <v>574</v>
      </c>
      <c r="B113" s="25">
        <v>109</v>
      </c>
      <c r="C113" s="35">
        <v>43567</v>
      </c>
      <c r="D113" s="35">
        <v>43570</v>
      </c>
      <c r="E113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13" s="2">
        <v>13</v>
      </c>
      <c r="G113" s="2">
        <v>1</v>
      </c>
      <c r="H113" s="47">
        <f>WEEKNUM(tbSabana2016[[#This Row],[Fecha de Inicio]],15)</f>
        <v>16</v>
      </c>
      <c r="I113" s="36" t="str">
        <f>TEXT(tbSabana2016[[#This Row],[Fecha de Inicio]],"dddd")</f>
        <v>viernes</v>
      </c>
      <c r="J113" s="36" t="str">
        <f>TEXT(tbSabana2016[[#This Row],[Fecha de Inicio]],"mmmm")</f>
        <v>abril</v>
      </c>
      <c r="K113" s="37" t="s">
        <v>143</v>
      </c>
      <c r="L113" s="23">
        <v>20</v>
      </c>
      <c r="M113" s="38" t="s">
        <v>162</v>
      </c>
      <c r="N113" s="38" t="s">
        <v>163</v>
      </c>
      <c r="O113" s="38" t="s">
        <v>589</v>
      </c>
      <c r="P113" s="88"/>
      <c r="Q113" s="47">
        <v>18</v>
      </c>
      <c r="R113" s="102">
        <v>59</v>
      </c>
      <c r="S113" s="105">
        <v>7</v>
      </c>
      <c r="T113" s="102">
        <v>99</v>
      </c>
      <c r="U113" s="102">
        <v>9</v>
      </c>
      <c r="V113" s="105">
        <v>53.36</v>
      </c>
      <c r="W11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07.00'' W 99° 09' 53.36''</v>
      </c>
      <c r="X113" s="44">
        <v>1754</v>
      </c>
      <c r="Y113" s="19">
        <v>0</v>
      </c>
      <c r="Z113" s="19">
        <v>0</v>
      </c>
      <c r="AA113" s="19">
        <v>47</v>
      </c>
      <c r="AB113" s="19">
        <v>45</v>
      </c>
      <c r="AC113" s="19">
        <v>70.099999999999994</v>
      </c>
      <c r="AD113" s="19">
        <v>0</v>
      </c>
      <c r="AE113" s="19">
        <f>SUM(tbSabana2016[[#This Row],[Arbolado Adulto (HA)]:[Suelo Orgánico (HA)]])</f>
        <v>162.1</v>
      </c>
      <c r="AF113" s="9">
        <f t="shared" si="76"/>
        <v>1708.5199999999995</v>
      </c>
      <c r="AG113" s="9">
        <f>tbSabana2016[[#This Row],[Acumulado (HA)]]/tbSabana2016[[#This Row],[Incendio en el AÑO]]</f>
        <v>15.674495412844033</v>
      </c>
      <c r="AH113" s="2" t="s">
        <v>147</v>
      </c>
      <c r="AI113" s="2" t="s">
        <v>165</v>
      </c>
      <c r="AJ113" s="2" t="s">
        <v>134</v>
      </c>
      <c r="AK113" s="2" t="s">
        <v>200</v>
      </c>
      <c r="AL113" s="2" t="s">
        <v>150</v>
      </c>
      <c r="AM113" s="2" t="s">
        <v>151</v>
      </c>
      <c r="AN113" s="32">
        <v>43567.649305555555</v>
      </c>
      <c r="AO113" s="32">
        <v>43567.652777777781</v>
      </c>
      <c r="AP113" s="32">
        <v>43567.659722222219</v>
      </c>
      <c r="AQ113" s="32">
        <v>43567.680555555555</v>
      </c>
      <c r="AR113" s="32">
        <v>43567.6875</v>
      </c>
      <c r="AS113" s="32">
        <v>43567.6875</v>
      </c>
      <c r="AT113" s="32">
        <v>43569.708333333336</v>
      </c>
      <c r="AU113" s="32">
        <v>43570.572916666664</v>
      </c>
      <c r="AV113" s="32">
        <v>43570.604166666664</v>
      </c>
      <c r="AW113" s="40">
        <v>2.9236111111111112</v>
      </c>
      <c r="AX113" s="39">
        <v>3.472222222222222E-3</v>
      </c>
      <c r="AY113" s="39">
        <v>2.7777777777777776E-2</v>
      </c>
      <c r="AZ113" s="40">
        <f>SUM(tbSabana2016[[#This Row],[Duración]])</f>
        <v>2.9236111111111112</v>
      </c>
      <c r="BA113" s="2">
        <v>2</v>
      </c>
      <c r="BB113" s="2">
        <v>5</v>
      </c>
      <c r="BC113" s="2">
        <v>0</v>
      </c>
      <c r="BD113" s="2">
        <v>0</v>
      </c>
      <c r="BE113" s="2">
        <v>1</v>
      </c>
      <c r="BF113" s="2">
        <v>0</v>
      </c>
      <c r="BG113" s="2">
        <v>0</v>
      </c>
      <c r="BH113" s="2">
        <v>7</v>
      </c>
      <c r="BI113" s="2">
        <v>0</v>
      </c>
      <c r="BJ113" s="2" t="s">
        <v>585</v>
      </c>
      <c r="BK113" s="2">
        <v>0</v>
      </c>
      <c r="BL113" s="2">
        <v>0</v>
      </c>
      <c r="BM113" s="2">
        <v>1</v>
      </c>
      <c r="BN113" s="2">
        <v>1</v>
      </c>
      <c r="BO113" s="2">
        <v>1</v>
      </c>
      <c r="BP113" s="2">
        <v>1</v>
      </c>
      <c r="BQ113" s="2">
        <v>0</v>
      </c>
      <c r="BR113" s="2">
        <v>0</v>
      </c>
      <c r="BS113" s="2" t="s">
        <v>590</v>
      </c>
      <c r="BT113" s="2">
        <v>30</v>
      </c>
      <c r="BU113" s="2">
        <v>0</v>
      </c>
      <c r="BV113" s="2">
        <v>0</v>
      </c>
      <c r="BW113" s="2">
        <v>0</v>
      </c>
      <c r="BX113" s="2">
        <v>0</v>
      </c>
      <c r="BY113" s="2">
        <v>18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12</v>
      </c>
      <c r="CG113" s="2">
        <v>10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3">
        <f t="shared" si="77"/>
        <v>70</v>
      </c>
      <c r="CO113" s="10">
        <f t="shared" si="62"/>
        <v>2224</v>
      </c>
      <c r="CP113" s="10">
        <f t="shared" si="78"/>
        <v>70</v>
      </c>
      <c r="CQ113" s="24">
        <f>SUM(tbSabana2016[[#This Row],[Voluntarios]])</f>
        <v>0</v>
      </c>
      <c r="CR113" s="8">
        <f>tbSabana2016[[#This Row],[CONAFOR (Oficiales)]]*383</f>
        <v>11490</v>
      </c>
      <c r="CS113" s="8">
        <f>(tbSabana2016[[#This Row],[Total (Oficiales)]]-tbSabana2016[[#This Row],[CONAFOR (Oficiales)]])*217</f>
        <v>8680</v>
      </c>
      <c r="CT113" s="8">
        <f>SUM(tbSabana2016[[#This Row],[Costo CONAFOR]:[Costo Otros]])</f>
        <v>20170</v>
      </c>
      <c r="CU113" s="8">
        <v>760</v>
      </c>
      <c r="CV113" s="8">
        <f t="shared" si="79"/>
        <v>20930</v>
      </c>
      <c r="CW113" s="2" t="s">
        <v>154</v>
      </c>
      <c r="CX113" s="2" t="s">
        <v>154</v>
      </c>
      <c r="CY113" s="69" t="s">
        <v>154</v>
      </c>
      <c r="CZ113" s="2" t="s">
        <v>154</v>
      </c>
      <c r="DA113" s="2" t="s">
        <v>172</v>
      </c>
      <c r="DB113" s="2" t="s">
        <v>155</v>
      </c>
      <c r="DC113" s="2" t="s">
        <v>468</v>
      </c>
      <c r="DD113" s="2" t="s">
        <v>311</v>
      </c>
      <c r="DE113" s="2" t="s">
        <v>170</v>
      </c>
      <c r="DF113" s="2" t="s">
        <v>159</v>
      </c>
      <c r="DG113" s="2" t="s">
        <v>475</v>
      </c>
      <c r="DH113" s="2">
        <v>0</v>
      </c>
      <c r="DI113" s="2">
        <v>0</v>
      </c>
      <c r="DJ113" s="2">
        <v>47</v>
      </c>
      <c r="DK113" s="2">
        <v>45</v>
      </c>
      <c r="DL113" s="2">
        <v>70.099999999999994</v>
      </c>
      <c r="DM113" s="2">
        <v>0</v>
      </c>
      <c r="DN113" s="2">
        <f t="shared" si="80"/>
        <v>162.1</v>
      </c>
    </row>
    <row r="114" spans="1:126" x14ac:dyDescent="0.25">
      <c r="A114" s="2" t="s">
        <v>575</v>
      </c>
      <c r="B114" s="25">
        <v>110</v>
      </c>
      <c r="C114" s="35">
        <v>43568</v>
      </c>
      <c r="D114" s="35">
        <v>43568</v>
      </c>
      <c r="E11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14" s="2">
        <v>14</v>
      </c>
      <c r="G114" s="2">
        <v>1</v>
      </c>
      <c r="H114" s="47">
        <f>WEEKNUM(tbSabana2016[[#This Row],[Fecha de Inicio]],15)</f>
        <v>16</v>
      </c>
      <c r="I114" s="36" t="str">
        <f>TEXT(tbSabana2016[[#This Row],[Fecha de Inicio]],"dddd")</f>
        <v>sábado</v>
      </c>
      <c r="J114" s="36" t="str">
        <f>TEXT(tbSabana2016[[#This Row],[Fecha de Inicio]],"mmmm")</f>
        <v>abril</v>
      </c>
      <c r="K114" s="37" t="s">
        <v>143</v>
      </c>
      <c r="L114" s="23">
        <v>23</v>
      </c>
      <c r="M114" s="38" t="s">
        <v>123</v>
      </c>
      <c r="N114" s="38" t="s">
        <v>123</v>
      </c>
      <c r="O114" s="38" t="s">
        <v>599</v>
      </c>
      <c r="P114" s="88" t="s">
        <v>249</v>
      </c>
      <c r="Q114" s="47">
        <v>19</v>
      </c>
      <c r="R114" s="102">
        <v>3</v>
      </c>
      <c r="S114" s="105">
        <v>5.55</v>
      </c>
      <c r="T114" s="102">
        <v>98</v>
      </c>
      <c r="U114" s="102">
        <v>57</v>
      </c>
      <c r="V114" s="105">
        <v>54.34</v>
      </c>
      <c r="W11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05.55'' W 98° 57' 54.34''</v>
      </c>
      <c r="X114" s="44">
        <v>2653</v>
      </c>
      <c r="Y114" s="19">
        <v>0</v>
      </c>
      <c r="Z114" s="19">
        <v>0</v>
      </c>
      <c r="AA114" s="19">
        <v>20</v>
      </c>
      <c r="AB114" s="19">
        <v>31.02</v>
      </c>
      <c r="AC114" s="19">
        <v>20</v>
      </c>
      <c r="AD114" s="19">
        <v>0</v>
      </c>
      <c r="AE114" s="19">
        <f>SUM(tbSabana2016[[#This Row],[Arbolado Adulto (HA)]:[Suelo Orgánico (HA)]])</f>
        <v>71.02</v>
      </c>
      <c r="AF114" s="9">
        <f t="shared" si="76"/>
        <v>1779.5399999999995</v>
      </c>
      <c r="AG114" s="9">
        <f>tbSabana2016[[#This Row],[Acumulado (HA)]]/tbSabana2016[[#This Row],[Incendio en el AÑO]]</f>
        <v>16.17763636363636</v>
      </c>
      <c r="AH114" s="2" t="s">
        <v>591</v>
      </c>
      <c r="AI114" s="2" t="s">
        <v>165</v>
      </c>
      <c r="AJ114" s="2" t="s">
        <v>133</v>
      </c>
      <c r="AK114" s="2" t="s">
        <v>149</v>
      </c>
      <c r="AL114" s="2" t="s">
        <v>150</v>
      </c>
      <c r="AM114" s="2" t="s">
        <v>151</v>
      </c>
      <c r="AN114" s="32">
        <v>43568.329861111109</v>
      </c>
      <c r="AO114" s="32">
        <v>43568.333333333336</v>
      </c>
      <c r="AP114" s="32">
        <v>43568.350694444445</v>
      </c>
      <c r="AQ114" s="32">
        <v>43568.430555555555</v>
      </c>
      <c r="AR114" s="32">
        <v>43568.4375</v>
      </c>
      <c r="AS114" s="32"/>
      <c r="AT114" s="32">
        <v>43568.791666666664</v>
      </c>
      <c r="AU114" s="32">
        <v>43568.833333333336</v>
      </c>
      <c r="AV114" s="32">
        <v>43568.958333333336</v>
      </c>
      <c r="AW114" s="40">
        <v>0.50347222222222221</v>
      </c>
      <c r="AX114" s="39">
        <v>3.472222222222222E-3</v>
      </c>
      <c r="AY114" s="39">
        <v>9.7222222222222224E-2</v>
      </c>
      <c r="AZ114" s="40">
        <f>SUM(tbSabana2016[[#This Row],[Duración]])</f>
        <v>0.50347222222222221</v>
      </c>
      <c r="BA114" s="2">
        <v>2</v>
      </c>
      <c r="BB114" s="2">
        <v>1</v>
      </c>
      <c r="BC114" s="2">
        <v>0</v>
      </c>
      <c r="BD114" s="2">
        <v>0</v>
      </c>
      <c r="BE114" s="2">
        <v>1.5</v>
      </c>
      <c r="BF114" s="2">
        <v>0</v>
      </c>
      <c r="BG114" s="2">
        <v>0.7</v>
      </c>
      <c r="BH114" s="2">
        <v>0.9</v>
      </c>
      <c r="BI114" s="2">
        <v>0</v>
      </c>
      <c r="BJ114" s="2" t="s">
        <v>176</v>
      </c>
      <c r="BK114" s="2">
        <v>1</v>
      </c>
      <c r="BL114" s="2">
        <v>1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T114" s="2">
        <v>8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3">
        <f t="shared" si="77"/>
        <v>8</v>
      </c>
      <c r="CO114" s="10">
        <f t="shared" si="62"/>
        <v>2232</v>
      </c>
      <c r="CP114" s="10">
        <f t="shared" si="78"/>
        <v>8</v>
      </c>
      <c r="CQ114" s="24">
        <f>SUM(tbSabana2016[[#This Row],[Voluntarios]])</f>
        <v>0</v>
      </c>
      <c r="CR114" s="8">
        <f>tbSabana2016[[#This Row],[CONAFOR (Oficiales)]]*383</f>
        <v>3064</v>
      </c>
      <c r="CS114" s="8">
        <f>(tbSabana2016[[#This Row],[Total (Oficiales)]]-tbSabana2016[[#This Row],[CONAFOR (Oficiales)]])*217</f>
        <v>0</v>
      </c>
      <c r="CT114" s="8">
        <f>SUM(tbSabana2016[[#This Row],[Costo CONAFOR]:[Costo Otros]])</f>
        <v>3064</v>
      </c>
      <c r="CU114" s="8">
        <v>720</v>
      </c>
      <c r="CV114" s="8">
        <f t="shared" si="79"/>
        <v>3784</v>
      </c>
      <c r="CW114" s="2" t="s">
        <v>154</v>
      </c>
      <c r="CX114" s="2" t="s">
        <v>154</v>
      </c>
      <c r="CY114" s="69" t="s">
        <v>154</v>
      </c>
      <c r="CZ114" s="2" t="s">
        <v>154</v>
      </c>
      <c r="DA114" s="2" t="s">
        <v>172</v>
      </c>
      <c r="DB114" s="2" t="s">
        <v>155</v>
      </c>
      <c r="DC114" s="2" t="s">
        <v>468</v>
      </c>
      <c r="DD114" s="2" t="s">
        <v>311</v>
      </c>
      <c r="DE114" s="2" t="s">
        <v>158</v>
      </c>
      <c r="DF114" s="2" t="s">
        <v>159</v>
      </c>
      <c r="DG114" s="2" t="s">
        <v>160</v>
      </c>
      <c r="DH114" s="2">
        <v>0</v>
      </c>
      <c r="DI114" s="2">
        <v>0</v>
      </c>
      <c r="DJ114" s="2">
        <v>20</v>
      </c>
      <c r="DK114" s="2">
        <v>31.02</v>
      </c>
      <c r="DL114" s="2">
        <v>20</v>
      </c>
      <c r="DM114" s="2">
        <v>0</v>
      </c>
      <c r="DN114" s="2">
        <f t="shared" si="80"/>
        <v>71.02</v>
      </c>
    </row>
    <row r="115" spans="1:126" s="26" customFormat="1" x14ac:dyDescent="0.25">
      <c r="A115" s="2" t="s">
        <v>576</v>
      </c>
      <c r="B115" s="25">
        <v>111</v>
      </c>
      <c r="C115" s="35">
        <v>43569</v>
      </c>
      <c r="D115" s="35">
        <v>43569</v>
      </c>
      <c r="E115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15" s="2">
        <v>15</v>
      </c>
      <c r="G115" s="2">
        <v>1</v>
      </c>
      <c r="H115" s="47">
        <f>WEEKNUM(tbSabana2016[[#This Row],[Fecha de Inicio]],15)</f>
        <v>16</v>
      </c>
      <c r="I115" s="36" t="str">
        <f>TEXT(tbSabana2016[[#This Row],[Fecha de Inicio]],"dddd")</f>
        <v>domingo</v>
      </c>
      <c r="J115" s="36" t="str">
        <f>TEXT(tbSabana2016[[#This Row],[Fecha de Inicio]],"mmmm")</f>
        <v>abril</v>
      </c>
      <c r="K115" s="37" t="s">
        <v>143</v>
      </c>
      <c r="L115" s="23">
        <v>23</v>
      </c>
      <c r="M115" s="38" t="s">
        <v>123</v>
      </c>
      <c r="N115" s="38" t="s">
        <v>123</v>
      </c>
      <c r="O115" s="38" t="s">
        <v>255</v>
      </c>
      <c r="P115" s="88" t="s">
        <v>421</v>
      </c>
      <c r="Q115" s="47">
        <v>19</v>
      </c>
      <c r="R115" s="102">
        <v>3</v>
      </c>
      <c r="S115" s="105">
        <v>7.71</v>
      </c>
      <c r="T115" s="102">
        <v>98</v>
      </c>
      <c r="U115" s="102">
        <v>58</v>
      </c>
      <c r="V115" s="105">
        <v>26.49</v>
      </c>
      <c r="W115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07.71'' W 98° 58' 26.49''</v>
      </c>
      <c r="X115" s="44">
        <v>2662</v>
      </c>
      <c r="Y115" s="19">
        <v>0</v>
      </c>
      <c r="Z115" s="19">
        <v>0</v>
      </c>
      <c r="AA115" s="19">
        <v>5</v>
      </c>
      <c r="AB115" s="19">
        <v>15.79</v>
      </c>
      <c r="AC115" s="19">
        <v>5</v>
      </c>
      <c r="AD115" s="19">
        <v>0</v>
      </c>
      <c r="AE115" s="19">
        <f>SUM(tbSabana2016[[#This Row],[Arbolado Adulto (HA)]:[Suelo Orgánico (HA)]])</f>
        <v>25.79</v>
      </c>
      <c r="AF115" s="9">
        <f t="shared" si="76"/>
        <v>1805.3299999999995</v>
      </c>
      <c r="AG115" s="9">
        <f>tbSabana2016[[#This Row],[Acumulado (HA)]]/tbSabana2016[[#This Row],[Incendio en el AÑO]]</f>
        <v>16.26423423423423</v>
      </c>
      <c r="AH115" s="2" t="s">
        <v>591</v>
      </c>
      <c r="AI115" s="2" t="s">
        <v>165</v>
      </c>
      <c r="AJ115" s="2" t="s">
        <v>133</v>
      </c>
      <c r="AK115" s="2" t="s">
        <v>149</v>
      </c>
      <c r="AL115" s="2" t="s">
        <v>150</v>
      </c>
      <c r="AM115" s="2" t="s">
        <v>151</v>
      </c>
      <c r="AN115" s="32">
        <v>43569.538888888892</v>
      </c>
      <c r="AO115" s="32">
        <v>43569.534722222219</v>
      </c>
      <c r="AP115" s="32">
        <v>43569.538194444445</v>
      </c>
      <c r="AQ115" s="32">
        <v>43569.576388888891</v>
      </c>
      <c r="AR115" s="32">
        <v>43569.583333333336</v>
      </c>
      <c r="AS115" s="32"/>
      <c r="AT115" s="32">
        <v>43569.8125</v>
      </c>
      <c r="AU115" s="32">
        <v>43569.854166666664</v>
      </c>
      <c r="AV115" s="32">
        <v>43570</v>
      </c>
      <c r="AW115" s="40">
        <v>0.31944444444444448</v>
      </c>
      <c r="AX115" s="39">
        <v>4.1666666666666666E-3</v>
      </c>
      <c r="AY115" s="39">
        <v>3.7499999999999999E-2</v>
      </c>
      <c r="AZ115" s="40">
        <f>SUM(tbSabana2016[[#This Row],[Duración]])</f>
        <v>0.31944444444444448</v>
      </c>
      <c r="BA115" s="2">
        <v>0.8</v>
      </c>
      <c r="BB115" s="2">
        <v>1.2</v>
      </c>
      <c r="BC115" s="2">
        <v>0</v>
      </c>
      <c r="BD115" s="2">
        <v>0</v>
      </c>
      <c r="BE115" s="2">
        <v>0.8</v>
      </c>
      <c r="BF115" s="2">
        <v>0</v>
      </c>
      <c r="BG115" s="2">
        <v>1</v>
      </c>
      <c r="BH115" s="2">
        <v>2</v>
      </c>
      <c r="BI115" s="2">
        <v>0</v>
      </c>
      <c r="BJ115" s="2" t="s">
        <v>176</v>
      </c>
      <c r="BK115" s="2">
        <v>1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/>
      <c r="BT115" s="2">
        <v>9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3">
        <f t="shared" si="77"/>
        <v>9</v>
      </c>
      <c r="CO115" s="10">
        <f t="shared" si="62"/>
        <v>2241</v>
      </c>
      <c r="CP115" s="10">
        <f t="shared" si="78"/>
        <v>9</v>
      </c>
      <c r="CQ115" s="24">
        <f>SUM(tbSabana2016[[#This Row],[Voluntarios]])</f>
        <v>0</v>
      </c>
      <c r="CR115" s="8">
        <f>tbSabana2016[[#This Row],[CONAFOR (Oficiales)]]*383</f>
        <v>3447</v>
      </c>
      <c r="CS115" s="8">
        <f>(tbSabana2016[[#This Row],[Total (Oficiales)]]-tbSabana2016[[#This Row],[CONAFOR (Oficiales)]])*217</f>
        <v>0</v>
      </c>
      <c r="CT115" s="8">
        <f>SUM(tbSabana2016[[#This Row],[Costo CONAFOR]:[Costo Otros]])</f>
        <v>3447</v>
      </c>
      <c r="CU115" s="8">
        <v>817</v>
      </c>
      <c r="CV115" s="8">
        <f t="shared" si="79"/>
        <v>4264</v>
      </c>
      <c r="CW115" s="2" t="s">
        <v>154</v>
      </c>
      <c r="CX115" s="2" t="s">
        <v>154</v>
      </c>
      <c r="CY115" s="69" t="s">
        <v>154</v>
      </c>
      <c r="CZ115" s="2" t="s">
        <v>154</v>
      </c>
      <c r="DA115" s="2" t="s">
        <v>172</v>
      </c>
      <c r="DB115" s="2" t="s">
        <v>155</v>
      </c>
      <c r="DC115" s="2" t="s">
        <v>156</v>
      </c>
      <c r="DD115" s="2" t="s">
        <v>157</v>
      </c>
      <c r="DE115" s="2" t="s">
        <v>158</v>
      </c>
      <c r="DF115" s="2" t="s">
        <v>159</v>
      </c>
      <c r="DG115" s="2" t="s">
        <v>160</v>
      </c>
      <c r="DH115" s="2">
        <v>0</v>
      </c>
      <c r="DI115" s="2">
        <v>0</v>
      </c>
      <c r="DJ115" s="2">
        <v>5</v>
      </c>
      <c r="DK115" s="2">
        <v>15.79</v>
      </c>
      <c r="DL115" s="2">
        <v>5</v>
      </c>
      <c r="DM115" s="2">
        <v>0</v>
      </c>
      <c r="DN115" s="2">
        <f t="shared" si="80"/>
        <v>25.79</v>
      </c>
      <c r="DO115" s="46"/>
      <c r="DP115" s="2"/>
      <c r="DQ115" s="2"/>
      <c r="DR115" s="2"/>
      <c r="DS115" s="2"/>
      <c r="DT115" s="2"/>
      <c r="DU115" s="2"/>
      <c r="DV115" s="2"/>
    </row>
    <row r="116" spans="1:126" x14ac:dyDescent="0.25">
      <c r="A116" s="2" t="s">
        <v>577</v>
      </c>
      <c r="B116" s="25">
        <v>112</v>
      </c>
      <c r="C116" s="35">
        <v>43569</v>
      </c>
      <c r="D116" s="35">
        <v>43569</v>
      </c>
      <c r="E11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16" s="2">
        <v>16</v>
      </c>
      <c r="G116" s="2">
        <v>1</v>
      </c>
      <c r="H116" s="47">
        <f>WEEKNUM(tbSabana2016[[#This Row],[Fecha de Inicio]],15)</f>
        <v>16</v>
      </c>
      <c r="I116" s="36" t="str">
        <f>TEXT(tbSabana2016[[#This Row],[Fecha de Inicio]],"dddd")</f>
        <v>domingo</v>
      </c>
      <c r="J116" s="36" t="str">
        <f>TEXT(tbSabana2016[[#This Row],[Fecha de Inicio]],"mmmm")</f>
        <v>abril</v>
      </c>
      <c r="K116" s="37" t="s">
        <v>143</v>
      </c>
      <c r="L116" s="23">
        <v>9</v>
      </c>
      <c r="M116" s="38" t="s">
        <v>144</v>
      </c>
      <c r="N116" s="38" t="s">
        <v>144</v>
      </c>
      <c r="O116" s="38" t="s">
        <v>600</v>
      </c>
      <c r="P116" s="88" t="s">
        <v>249</v>
      </c>
      <c r="Q116" s="47">
        <v>18</v>
      </c>
      <c r="R116" s="102">
        <v>59</v>
      </c>
      <c r="S116" s="105">
        <v>6.67</v>
      </c>
      <c r="T116" s="102">
        <v>99</v>
      </c>
      <c r="U116" s="102">
        <v>13</v>
      </c>
      <c r="V116" s="105">
        <v>0.47</v>
      </c>
      <c r="W11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06.67'' W 99° 13' 00.47''</v>
      </c>
      <c r="X116" s="44">
        <v>1961</v>
      </c>
      <c r="Y116" s="19">
        <v>0</v>
      </c>
      <c r="Z116" s="19">
        <v>0</v>
      </c>
      <c r="AA116" s="19">
        <v>0.5</v>
      </c>
      <c r="AB116" s="19">
        <v>0.5</v>
      </c>
      <c r="AC116" s="19">
        <v>1.88</v>
      </c>
      <c r="AD116" s="19">
        <v>0</v>
      </c>
      <c r="AE116" s="19">
        <f>SUM(tbSabana2016[[#This Row],[Arbolado Adulto (HA)]:[Suelo Orgánico (HA)]])</f>
        <v>2.88</v>
      </c>
      <c r="AF116" s="9">
        <f t="shared" si="76"/>
        <v>1808.2099999999996</v>
      </c>
      <c r="AG116" s="9">
        <f>tbSabana2016[[#This Row],[Acumulado (HA)]]/tbSabana2016[[#This Row],[Incendio en el AÑO]]</f>
        <v>16.144732142857141</v>
      </c>
      <c r="AH116" s="2" t="s">
        <v>147</v>
      </c>
      <c r="AI116" s="2" t="s">
        <v>165</v>
      </c>
      <c r="AJ116" s="2" t="s">
        <v>135</v>
      </c>
      <c r="AK116" s="2" t="s">
        <v>266</v>
      </c>
      <c r="AL116" s="2" t="s">
        <v>150</v>
      </c>
      <c r="AM116" s="2" t="s">
        <v>151</v>
      </c>
      <c r="AN116" s="32">
        <v>43569.625</v>
      </c>
      <c r="AO116" s="32">
        <v>43569.628472222219</v>
      </c>
      <c r="AP116" s="32">
        <v>43569.666666666664</v>
      </c>
      <c r="AQ116" s="32">
        <v>43569.680555555555</v>
      </c>
      <c r="AR116" s="32">
        <v>43569.6875</v>
      </c>
      <c r="AS116" s="32"/>
      <c r="AT116" s="32">
        <v>43569.791666666664</v>
      </c>
      <c r="AU116" s="32">
        <v>43569.854166666664</v>
      </c>
      <c r="AV116" s="32">
        <v>43569.895833333336</v>
      </c>
      <c r="AW116" s="40">
        <v>0.22916666666666666</v>
      </c>
      <c r="AX116" s="39">
        <v>3.472222222222222E-3</v>
      </c>
      <c r="AY116" s="39">
        <v>5.2083333333333336E-2</v>
      </c>
      <c r="AZ116" s="40">
        <f>SUM(tbSabana2016[[#This Row],[Duración]])</f>
        <v>0.22916666666666666</v>
      </c>
      <c r="BA116" s="2">
        <v>0</v>
      </c>
      <c r="BB116" s="2">
        <v>0.4</v>
      </c>
      <c r="BC116" s="2">
        <v>0</v>
      </c>
      <c r="BD116" s="2">
        <v>0</v>
      </c>
      <c r="BE116" s="2">
        <v>0.2</v>
      </c>
      <c r="BF116" s="2">
        <v>0</v>
      </c>
      <c r="BG116" s="2">
        <v>0</v>
      </c>
      <c r="BH116" s="2">
        <v>0.4</v>
      </c>
      <c r="BI116" s="2">
        <v>0</v>
      </c>
      <c r="BJ116" s="2" t="s">
        <v>585</v>
      </c>
      <c r="BK116" s="2">
        <v>0</v>
      </c>
      <c r="BL116" s="2">
        <v>0</v>
      </c>
      <c r="BM116" s="2">
        <v>1</v>
      </c>
      <c r="BN116" s="2">
        <v>1</v>
      </c>
      <c r="BO116" s="2">
        <v>0</v>
      </c>
      <c r="BP116" s="2">
        <v>1</v>
      </c>
      <c r="BQ116" s="2">
        <v>0</v>
      </c>
      <c r="BR116" s="2">
        <v>0</v>
      </c>
      <c r="BS116" s="2" t="s">
        <v>46</v>
      </c>
      <c r="BT116" s="2">
        <v>19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10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3">
        <f t="shared" si="77"/>
        <v>29</v>
      </c>
      <c r="CO116" s="10">
        <f t="shared" si="62"/>
        <v>2270</v>
      </c>
      <c r="CP116" s="10">
        <f t="shared" si="78"/>
        <v>19</v>
      </c>
      <c r="CQ116" s="24">
        <f>SUM(tbSabana2016[[#This Row],[Voluntarios]])</f>
        <v>10</v>
      </c>
      <c r="CR116" s="8">
        <f>tbSabana2016[[#This Row],[CONAFOR (Oficiales)]]*383</f>
        <v>7277</v>
      </c>
      <c r="CS116" s="8">
        <f>(tbSabana2016[[#This Row],[Total (Oficiales)]]-tbSabana2016[[#This Row],[CONAFOR (Oficiales)]])*217</f>
        <v>2170</v>
      </c>
      <c r="CT116" s="8">
        <f>SUM(tbSabana2016[[#This Row],[Costo CONAFOR]:[Costo Otros]])</f>
        <v>9447</v>
      </c>
      <c r="CU116" s="8">
        <v>190</v>
      </c>
      <c r="CV116" s="8">
        <f t="shared" si="79"/>
        <v>9637</v>
      </c>
      <c r="CW116" s="2" t="s">
        <v>154</v>
      </c>
      <c r="CX116" s="2" t="s">
        <v>154</v>
      </c>
      <c r="CY116" s="69" t="s">
        <v>154</v>
      </c>
      <c r="CZ116" s="2" t="s">
        <v>154</v>
      </c>
      <c r="DA116" s="2" t="s">
        <v>172</v>
      </c>
      <c r="DB116" s="2" t="s">
        <v>155</v>
      </c>
      <c r="DC116" s="2" t="s">
        <v>468</v>
      </c>
      <c r="DD116" s="2" t="s">
        <v>311</v>
      </c>
      <c r="DE116" s="2" t="s">
        <v>158</v>
      </c>
      <c r="DF116" s="2" t="s">
        <v>159</v>
      </c>
      <c r="DG116" s="2" t="s">
        <v>160</v>
      </c>
      <c r="DH116" s="2">
        <v>0</v>
      </c>
      <c r="DI116" s="2">
        <v>0</v>
      </c>
      <c r="DJ116" s="2">
        <v>0.5</v>
      </c>
      <c r="DK116" s="2">
        <v>0.5</v>
      </c>
      <c r="DL116" s="2">
        <v>1.88</v>
      </c>
      <c r="DM116" s="2">
        <v>0</v>
      </c>
      <c r="DN116" s="2">
        <f t="shared" si="80"/>
        <v>2.88</v>
      </c>
    </row>
    <row r="117" spans="1:126" x14ac:dyDescent="0.25">
      <c r="A117" s="2" t="s">
        <v>578</v>
      </c>
      <c r="B117" s="25">
        <v>113</v>
      </c>
      <c r="C117" s="35">
        <v>43570</v>
      </c>
      <c r="D117" s="35">
        <v>43570</v>
      </c>
      <c r="E11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17" s="2">
        <v>17</v>
      </c>
      <c r="G117" s="2">
        <v>1</v>
      </c>
      <c r="H117" s="47">
        <f>WEEKNUM(tbSabana2016[[#This Row],[Fecha de Inicio]],15)</f>
        <v>16</v>
      </c>
      <c r="I117" s="36" t="str">
        <f>TEXT(tbSabana2016[[#This Row],[Fecha de Inicio]],"dddd")</f>
        <v>lunes</v>
      </c>
      <c r="J117" s="36" t="str">
        <f>TEXT(tbSabana2016[[#This Row],[Fecha de Inicio]],"mmmm")</f>
        <v>abril</v>
      </c>
      <c r="K117" s="37" t="s">
        <v>143</v>
      </c>
      <c r="L117" s="23">
        <v>9</v>
      </c>
      <c r="M117" s="38" t="s">
        <v>144</v>
      </c>
      <c r="N117" s="38" t="s">
        <v>144</v>
      </c>
      <c r="O117" s="38" t="s">
        <v>601</v>
      </c>
      <c r="P117" s="88" t="s">
        <v>249</v>
      </c>
      <c r="Q117" s="47">
        <v>18</v>
      </c>
      <c r="R117" s="102">
        <v>59</v>
      </c>
      <c r="S117" s="105">
        <v>7.03</v>
      </c>
      <c r="T117" s="102">
        <v>99</v>
      </c>
      <c r="U117" s="102">
        <v>13</v>
      </c>
      <c r="V117" s="105">
        <v>1.41</v>
      </c>
      <c r="W11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07.03'' W 99° 13' 01.41''</v>
      </c>
      <c r="X117" s="44">
        <v>1962</v>
      </c>
      <c r="Y117" s="19">
        <v>0</v>
      </c>
      <c r="Z117" s="19">
        <v>0</v>
      </c>
      <c r="AA117" s="19">
        <v>9</v>
      </c>
      <c r="AB117" s="19">
        <v>4</v>
      </c>
      <c r="AC117" s="19">
        <v>3.46</v>
      </c>
      <c r="AD117" s="19">
        <v>0</v>
      </c>
      <c r="AE117" s="19">
        <f>SUM(tbSabana2016[[#This Row],[Arbolado Adulto (HA)]:[Suelo Orgánico (HA)]])</f>
        <v>16.46</v>
      </c>
      <c r="AF117" s="9">
        <f t="shared" si="76"/>
        <v>1824.6699999999996</v>
      </c>
      <c r="AG117" s="9">
        <f>tbSabana2016[[#This Row],[Acumulado (HA)]]/tbSabana2016[[#This Row],[Incendio en el AÑO]]</f>
        <v>16.1475221238938</v>
      </c>
      <c r="AH117" s="2" t="s">
        <v>147</v>
      </c>
      <c r="AI117" s="2" t="s">
        <v>165</v>
      </c>
      <c r="AJ117" s="2" t="s">
        <v>135</v>
      </c>
      <c r="AK117" s="2" t="s">
        <v>266</v>
      </c>
      <c r="AL117" s="2" t="s">
        <v>150</v>
      </c>
      <c r="AM117" s="2" t="s">
        <v>205</v>
      </c>
      <c r="AN117" s="32">
        <v>43570.340277777781</v>
      </c>
      <c r="AO117" s="32">
        <v>43570.34375</v>
      </c>
      <c r="AP117" s="32">
        <v>43570.347222222219</v>
      </c>
      <c r="AQ117" s="32">
        <v>43570.368055555555</v>
      </c>
      <c r="AR117" s="32">
        <v>43570.371527777781</v>
      </c>
      <c r="AS117" s="32"/>
      <c r="AT117" s="32">
        <v>43570.666666666664</v>
      </c>
      <c r="AU117" s="32">
        <v>43570.729166666664</v>
      </c>
      <c r="AV117" s="32"/>
      <c r="AW117" s="40">
        <v>0.3888888888888889</v>
      </c>
      <c r="AX117" s="39">
        <v>3.472222222222222E-3</v>
      </c>
      <c r="AY117" s="39">
        <v>2.4305555555555556E-2</v>
      </c>
      <c r="AZ117" s="40">
        <f>SUM(tbSabana2016[[#This Row],[Duración]])</f>
        <v>0.3888888888888889</v>
      </c>
      <c r="BA117" s="2">
        <v>0</v>
      </c>
      <c r="BB117" s="2">
        <v>1.8</v>
      </c>
      <c r="BC117" s="2">
        <v>0</v>
      </c>
      <c r="BD117" s="2">
        <v>0</v>
      </c>
      <c r="BE117" s="2">
        <v>200</v>
      </c>
      <c r="BF117" s="2">
        <v>0</v>
      </c>
      <c r="BG117" s="2">
        <v>0</v>
      </c>
      <c r="BH117" s="2">
        <v>2</v>
      </c>
      <c r="BI117" s="2">
        <v>0</v>
      </c>
      <c r="BJ117" s="2" t="s">
        <v>206</v>
      </c>
      <c r="BK117" s="2">
        <v>1</v>
      </c>
      <c r="BL117" s="2">
        <v>0</v>
      </c>
      <c r="BM117" s="2">
        <v>1</v>
      </c>
      <c r="BN117" s="2">
        <v>0</v>
      </c>
      <c r="BO117" s="2">
        <v>0</v>
      </c>
      <c r="BP117" s="2">
        <v>1</v>
      </c>
      <c r="BQ117" s="2">
        <v>0</v>
      </c>
      <c r="BR117" s="2">
        <v>0</v>
      </c>
      <c r="BS117" s="2" t="s">
        <v>592</v>
      </c>
      <c r="BT117" s="2">
        <v>19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11</v>
      </c>
      <c r="CE117" s="2">
        <v>0</v>
      </c>
      <c r="CF117" s="2">
        <v>0</v>
      </c>
      <c r="CG117" s="2">
        <v>0</v>
      </c>
      <c r="CH117" s="2">
        <v>10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3">
        <f t="shared" si="77"/>
        <v>40</v>
      </c>
      <c r="CO117" s="10">
        <f t="shared" si="62"/>
        <v>2310</v>
      </c>
      <c r="CP117" s="10">
        <f t="shared" si="78"/>
        <v>30</v>
      </c>
      <c r="CQ117" s="24">
        <f>SUM(tbSabana2016[[#This Row],[Voluntarios]])</f>
        <v>10</v>
      </c>
      <c r="CR117" s="8">
        <f>tbSabana2016[[#This Row],[CONAFOR (Oficiales)]]*383</f>
        <v>7277</v>
      </c>
      <c r="CS117" s="8">
        <f>(tbSabana2016[[#This Row],[Total (Oficiales)]]-tbSabana2016[[#This Row],[CONAFOR (Oficiales)]])*217</f>
        <v>4557</v>
      </c>
      <c r="CT117" s="8">
        <f>SUM(tbSabana2016[[#This Row],[Costo CONAFOR]:[Costo Otros]])</f>
        <v>11834</v>
      </c>
      <c r="CU117" s="8">
        <v>342</v>
      </c>
      <c r="CV117" s="8">
        <f t="shared" si="79"/>
        <v>12176</v>
      </c>
      <c r="CW117" s="2" t="s">
        <v>154</v>
      </c>
      <c r="CX117" s="2" t="s">
        <v>154</v>
      </c>
      <c r="CY117" s="69" t="s">
        <v>154</v>
      </c>
      <c r="CZ117" s="2" t="s">
        <v>154</v>
      </c>
      <c r="DA117" s="2" t="s">
        <v>172</v>
      </c>
      <c r="DB117" s="2" t="s">
        <v>155</v>
      </c>
      <c r="DC117" s="2" t="s">
        <v>468</v>
      </c>
      <c r="DD117" s="2" t="s">
        <v>311</v>
      </c>
      <c r="DE117" s="2" t="s">
        <v>158</v>
      </c>
      <c r="DF117" s="2" t="s">
        <v>159</v>
      </c>
      <c r="DG117" s="2" t="s">
        <v>160</v>
      </c>
      <c r="DH117" s="2">
        <v>0</v>
      </c>
      <c r="DI117" s="2">
        <v>0</v>
      </c>
      <c r="DJ117" s="2">
        <v>9</v>
      </c>
      <c r="DK117" s="2">
        <v>4</v>
      </c>
      <c r="DL117" s="2">
        <v>3.46</v>
      </c>
      <c r="DM117" s="2">
        <v>0</v>
      </c>
      <c r="DN117" s="2">
        <f t="shared" si="80"/>
        <v>16.46</v>
      </c>
    </row>
    <row r="118" spans="1:126" x14ac:dyDescent="0.25">
      <c r="A118" s="2" t="s">
        <v>579</v>
      </c>
      <c r="B118" s="25">
        <v>114</v>
      </c>
      <c r="C118" s="35">
        <v>43570</v>
      </c>
      <c r="D118" s="35">
        <v>43570</v>
      </c>
      <c r="E118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18" s="2">
        <v>18</v>
      </c>
      <c r="G118" s="2">
        <v>1</v>
      </c>
      <c r="H118" s="47">
        <f>WEEKNUM(tbSabana2016[[#This Row],[Fecha de Inicio]],15)</f>
        <v>16</v>
      </c>
      <c r="I118" s="36" t="str">
        <f>TEXT(tbSabana2016[[#This Row],[Fecha de Inicio]],"dddd")</f>
        <v>lunes</v>
      </c>
      <c r="J118" s="36" t="str">
        <f>TEXT(tbSabana2016[[#This Row],[Fecha de Inicio]],"mmmm")</f>
        <v>abril</v>
      </c>
      <c r="K118" s="37" t="s">
        <v>143</v>
      </c>
      <c r="L118" s="23">
        <v>9</v>
      </c>
      <c r="M118" s="38" t="s">
        <v>144</v>
      </c>
      <c r="N118" s="38" t="s">
        <v>144</v>
      </c>
      <c r="O118" s="38" t="s">
        <v>274</v>
      </c>
      <c r="P118" s="88"/>
      <c r="Q118" s="47">
        <v>19</v>
      </c>
      <c r="R118" s="102">
        <v>2</v>
      </c>
      <c r="S118" s="105">
        <v>35.200000000000003</v>
      </c>
      <c r="T118" s="102">
        <v>99</v>
      </c>
      <c r="U118" s="102">
        <v>17</v>
      </c>
      <c r="V118" s="105">
        <v>51.61</v>
      </c>
      <c r="W118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35.20'' W 99° 17' 51.61''</v>
      </c>
      <c r="X118" s="44">
        <v>2912</v>
      </c>
      <c r="Y118" s="19">
        <v>0</v>
      </c>
      <c r="Z118" s="19">
        <v>0</v>
      </c>
      <c r="AA118" s="19">
        <v>2</v>
      </c>
      <c r="AB118" s="19">
        <v>3.27</v>
      </c>
      <c r="AC118" s="19">
        <v>3</v>
      </c>
      <c r="AD118" s="19">
        <v>0</v>
      </c>
      <c r="AE118" s="19">
        <f>SUM(tbSabana2016[[#This Row],[Arbolado Adulto (HA)]:[Suelo Orgánico (HA)]])</f>
        <v>8.27</v>
      </c>
      <c r="AF118" s="9">
        <f t="shared" si="76"/>
        <v>1832.9399999999996</v>
      </c>
      <c r="AG118" s="9">
        <f>tbSabana2016[[#This Row],[Acumulado (HA)]]/tbSabana2016[[#This Row],[Incendio en el AÑO]]</f>
        <v>16.078421052631576</v>
      </c>
      <c r="AH118" s="2" t="s">
        <v>147</v>
      </c>
      <c r="AI118" s="2" t="s">
        <v>165</v>
      </c>
      <c r="AJ118" s="2" t="s">
        <v>139</v>
      </c>
      <c r="AK118" s="2" t="s">
        <v>166</v>
      </c>
      <c r="AL118" s="2" t="s">
        <v>150</v>
      </c>
      <c r="AM118" s="2" t="s">
        <v>151</v>
      </c>
      <c r="AN118" s="32">
        <v>43570.375</v>
      </c>
      <c r="AO118" s="32">
        <v>43570.378472222219</v>
      </c>
      <c r="AP118" s="32">
        <v>43570.381944444445</v>
      </c>
      <c r="AQ118" s="32">
        <v>43570.392361111109</v>
      </c>
      <c r="AR118" s="32">
        <v>43570.392361111109</v>
      </c>
      <c r="AS118" s="32"/>
      <c r="AT118" s="32">
        <v>43570.550694444442</v>
      </c>
      <c r="AU118" s="32">
        <v>43570.708333333336</v>
      </c>
      <c r="AV118" s="32">
        <v>43570.725694444445</v>
      </c>
      <c r="AW118" s="40">
        <v>0.33333333333333331</v>
      </c>
      <c r="AX118" s="39">
        <v>3.472222222222222E-3</v>
      </c>
      <c r="AY118" s="39">
        <v>1.3888888888888888E-2</v>
      </c>
      <c r="AZ118" s="40">
        <f>SUM(tbSabana2016[[#This Row],[Duración]])</f>
        <v>0.33333333333333331</v>
      </c>
      <c r="BA118" s="2">
        <v>0.3</v>
      </c>
      <c r="BB118" s="2">
        <v>0.9</v>
      </c>
      <c r="BC118" s="2">
        <v>0</v>
      </c>
      <c r="BD118" s="2">
        <v>0</v>
      </c>
      <c r="BE118" s="2">
        <v>0.2</v>
      </c>
      <c r="BF118" s="2">
        <v>0</v>
      </c>
      <c r="BG118" s="2">
        <v>0</v>
      </c>
      <c r="BH118" s="2">
        <v>1</v>
      </c>
      <c r="BI118" s="2">
        <v>0</v>
      </c>
      <c r="BJ118" s="2" t="s">
        <v>602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 t="s">
        <v>594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10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10</v>
      </c>
      <c r="CG118" s="2">
        <v>0</v>
      </c>
      <c r="CH118" s="2">
        <v>5</v>
      </c>
      <c r="CI118" s="2">
        <v>30</v>
      </c>
      <c r="CJ118" s="2">
        <v>0</v>
      </c>
      <c r="CK118" s="2">
        <v>0</v>
      </c>
      <c r="CL118" s="2">
        <v>0</v>
      </c>
      <c r="CM118" s="2">
        <v>0</v>
      </c>
      <c r="CN118" s="23">
        <f t="shared" si="77"/>
        <v>55</v>
      </c>
      <c r="CO118" s="10">
        <f t="shared" si="62"/>
        <v>2365</v>
      </c>
      <c r="CP118" s="10">
        <f t="shared" si="78"/>
        <v>50</v>
      </c>
      <c r="CQ118" s="24">
        <f>SUM(tbSabana2016[[#This Row],[Voluntarios]])</f>
        <v>5</v>
      </c>
      <c r="CR118" s="8">
        <f>tbSabana2016[[#This Row],[CONAFOR (Oficiales)]]*383</f>
        <v>0</v>
      </c>
      <c r="CS118" s="8">
        <f>(tbSabana2016[[#This Row],[Total (Oficiales)]]-tbSabana2016[[#This Row],[CONAFOR (Oficiales)]])*217</f>
        <v>11935</v>
      </c>
      <c r="CT118" s="8">
        <f>SUM(tbSabana2016[[#This Row],[Costo CONAFOR]:[Costo Otros]])</f>
        <v>11935</v>
      </c>
      <c r="CU118" s="8">
        <v>190</v>
      </c>
      <c r="CV118" s="8">
        <f t="shared" si="79"/>
        <v>12125</v>
      </c>
      <c r="CW118" s="2" t="s">
        <v>154</v>
      </c>
      <c r="CX118" s="2" t="s">
        <v>154</v>
      </c>
      <c r="CY118" s="69" t="s">
        <v>154</v>
      </c>
      <c r="CZ118" s="2" t="s">
        <v>154</v>
      </c>
      <c r="DA118" s="2" t="s">
        <v>172</v>
      </c>
      <c r="DB118" s="2" t="s">
        <v>155</v>
      </c>
      <c r="DC118" s="2" t="s">
        <v>362</v>
      </c>
      <c r="DD118" s="2" t="s">
        <v>370</v>
      </c>
      <c r="DE118" s="2" t="s">
        <v>499</v>
      </c>
      <c r="DF118" s="2" t="s">
        <v>159</v>
      </c>
      <c r="DG118" s="2" t="s">
        <v>595</v>
      </c>
      <c r="DH118" s="2">
        <v>0</v>
      </c>
      <c r="DI118" s="2">
        <v>0</v>
      </c>
      <c r="DJ118" s="2">
        <v>2</v>
      </c>
      <c r="DK118" s="2">
        <v>3.27</v>
      </c>
      <c r="DL118" s="2">
        <v>3</v>
      </c>
      <c r="DM118" s="2">
        <v>0</v>
      </c>
      <c r="DN118" s="2">
        <f t="shared" si="80"/>
        <v>8.27</v>
      </c>
    </row>
    <row r="119" spans="1:126" s="26" customFormat="1" x14ac:dyDescent="0.25">
      <c r="A119" s="2" t="s">
        <v>580</v>
      </c>
      <c r="B119" s="25">
        <v>115</v>
      </c>
      <c r="C119" s="35">
        <v>43570</v>
      </c>
      <c r="D119" s="35">
        <v>43571</v>
      </c>
      <c r="E119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19" s="2">
        <v>19</v>
      </c>
      <c r="G119" s="2">
        <v>1</v>
      </c>
      <c r="H119" s="47">
        <f>WEEKNUM(tbSabana2016[[#This Row],[Fecha de Inicio]],15)</f>
        <v>16</v>
      </c>
      <c r="I119" s="36" t="str">
        <f>TEXT(tbSabana2016[[#This Row],[Fecha de Inicio]],"dddd")</f>
        <v>lunes</v>
      </c>
      <c r="J119" s="36" t="str">
        <f>TEXT(tbSabana2016[[#This Row],[Fecha de Inicio]],"mmmm")</f>
        <v>abril</v>
      </c>
      <c r="K119" s="37" t="s">
        <v>143</v>
      </c>
      <c r="L119" s="23">
        <v>18</v>
      </c>
      <c r="M119" s="38" t="s">
        <v>596</v>
      </c>
      <c r="N119" s="38" t="s">
        <v>596</v>
      </c>
      <c r="O119" s="38" t="s">
        <v>597</v>
      </c>
      <c r="P119" s="88"/>
      <c r="Q119" s="47">
        <v>18</v>
      </c>
      <c r="R119" s="102">
        <v>47</v>
      </c>
      <c r="S119" s="105">
        <v>51.41</v>
      </c>
      <c r="T119" s="102">
        <v>99</v>
      </c>
      <c r="U119" s="102">
        <v>16</v>
      </c>
      <c r="V119" s="105">
        <v>47.61</v>
      </c>
      <c r="W119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47' 51.41'' W 99° 16' 47.61''</v>
      </c>
      <c r="X119" s="44">
        <v>1196</v>
      </c>
      <c r="Y119" s="19">
        <v>0</v>
      </c>
      <c r="Z119" s="19">
        <v>0</v>
      </c>
      <c r="AA119" s="19">
        <v>30</v>
      </c>
      <c r="AB119" s="19">
        <v>20</v>
      </c>
      <c r="AC119" s="19">
        <v>7</v>
      </c>
      <c r="AD119" s="19">
        <v>0</v>
      </c>
      <c r="AE119" s="19">
        <f>SUM(tbSabana2016[[#This Row],[Arbolado Adulto (HA)]:[Suelo Orgánico (HA)]])</f>
        <v>57</v>
      </c>
      <c r="AF119" s="9">
        <f t="shared" si="76"/>
        <v>1889.9399999999996</v>
      </c>
      <c r="AG119" s="9">
        <f>tbSabana2016[[#This Row],[Acumulado (HA)]]/tbSabana2016[[#This Row],[Incendio en el AÑO]]</f>
        <v>16.434260869565215</v>
      </c>
      <c r="AH119" s="2" t="s">
        <v>147</v>
      </c>
      <c r="AI119" s="2" t="s">
        <v>603</v>
      </c>
      <c r="AJ119" s="2" t="s">
        <v>134</v>
      </c>
      <c r="AK119" s="2" t="s">
        <v>200</v>
      </c>
      <c r="AL119" s="2" t="s">
        <v>150</v>
      </c>
      <c r="AM119" s="2" t="s">
        <v>151</v>
      </c>
      <c r="AN119" s="32">
        <v>43570.625</v>
      </c>
      <c r="AO119" s="32">
        <v>43570.628472222219</v>
      </c>
      <c r="AP119" s="32">
        <v>43570.652777777781</v>
      </c>
      <c r="AQ119" s="32">
        <v>43570.701388888891</v>
      </c>
      <c r="AR119" s="32">
        <v>43570.708333333336</v>
      </c>
      <c r="AS119" s="32">
        <v>43570.729166666664</v>
      </c>
      <c r="AT119" s="32">
        <v>43571.604166666664</v>
      </c>
      <c r="AU119" s="32">
        <v>43571.708333333336</v>
      </c>
      <c r="AV119" s="32">
        <v>43571.763888888891</v>
      </c>
      <c r="AW119" s="40">
        <v>1.0833333333333333</v>
      </c>
      <c r="AX119" s="39">
        <v>3.472222222222222E-3</v>
      </c>
      <c r="AY119" s="39">
        <v>7.2916666666666671E-2</v>
      </c>
      <c r="AZ119" s="40">
        <f>SUM(tbSabana2016[[#This Row],[Duración]])</f>
        <v>1.0833333333333333</v>
      </c>
      <c r="BA119" s="2">
        <v>0.8</v>
      </c>
      <c r="BB119" s="2">
        <v>3</v>
      </c>
      <c r="BC119" s="2">
        <v>0</v>
      </c>
      <c r="BD119" s="2">
        <v>0</v>
      </c>
      <c r="BE119" s="2">
        <v>1</v>
      </c>
      <c r="BF119" s="2">
        <v>0</v>
      </c>
      <c r="BG119" s="2">
        <v>0</v>
      </c>
      <c r="BH119" s="2">
        <v>4</v>
      </c>
      <c r="BI119" s="2">
        <v>0</v>
      </c>
      <c r="BJ119" s="2" t="s">
        <v>242</v>
      </c>
      <c r="BK119" s="2">
        <v>0</v>
      </c>
      <c r="BL119" s="2">
        <v>0</v>
      </c>
      <c r="BM119" s="2">
        <v>1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 t="s">
        <v>667</v>
      </c>
      <c r="BT119" s="2">
        <v>10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25</v>
      </c>
      <c r="CE119" s="2">
        <v>0</v>
      </c>
      <c r="CF119" s="2">
        <v>0</v>
      </c>
      <c r="CG119" s="2">
        <v>16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3">
        <f t="shared" si="77"/>
        <v>51</v>
      </c>
      <c r="CO119" s="10">
        <f t="shared" si="62"/>
        <v>2416</v>
      </c>
      <c r="CP119" s="10">
        <f t="shared" si="78"/>
        <v>51</v>
      </c>
      <c r="CQ119" s="24">
        <f>SUM(tbSabana2016[[#This Row],[Voluntarios]])</f>
        <v>0</v>
      </c>
      <c r="CR119" s="8">
        <f>tbSabana2016[[#This Row],[CONAFOR (Oficiales)]]*383</f>
        <v>3830</v>
      </c>
      <c r="CS119" s="8">
        <f>(tbSabana2016[[#This Row],[Total (Oficiales)]]-tbSabana2016[[#This Row],[CONAFOR (Oficiales)]])*217</f>
        <v>8897</v>
      </c>
      <c r="CT119" s="8">
        <f>SUM(tbSabana2016[[#This Row],[Costo CONAFOR]:[Costo Otros]])</f>
        <v>12727</v>
      </c>
      <c r="CU119" s="8">
        <v>1425</v>
      </c>
      <c r="CV119" s="8">
        <f t="shared" si="79"/>
        <v>14152</v>
      </c>
      <c r="CW119" s="2" t="s">
        <v>154</v>
      </c>
      <c r="CX119" s="2" t="s">
        <v>154</v>
      </c>
      <c r="CY119" s="69" t="s">
        <v>154</v>
      </c>
      <c r="CZ119" s="2" t="s">
        <v>154</v>
      </c>
      <c r="DA119" s="2" t="s">
        <v>172</v>
      </c>
      <c r="DB119" s="2" t="s">
        <v>155</v>
      </c>
      <c r="DC119" s="2" t="s">
        <v>168</v>
      </c>
      <c r="DD119" s="2" t="s">
        <v>169</v>
      </c>
      <c r="DE119" s="2" t="s">
        <v>202</v>
      </c>
      <c r="DF119" s="2" t="s">
        <v>159</v>
      </c>
      <c r="DG119" s="2" t="s">
        <v>203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f t="shared" si="80"/>
        <v>0</v>
      </c>
      <c r="DO119" s="46"/>
      <c r="DP119" s="2"/>
      <c r="DQ119" s="2"/>
      <c r="DR119" s="2"/>
      <c r="DS119" s="2"/>
      <c r="DT119" s="2"/>
      <c r="DU119" s="2"/>
      <c r="DV119" s="2"/>
    </row>
    <row r="120" spans="1:126" s="26" customFormat="1" x14ac:dyDescent="0.25">
      <c r="A120" s="2" t="s">
        <v>608</v>
      </c>
      <c r="B120" s="25">
        <v>116</v>
      </c>
      <c r="C120" s="35">
        <v>43571</v>
      </c>
      <c r="D120" s="35">
        <v>43571</v>
      </c>
      <c r="E120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0" s="2">
        <v>20</v>
      </c>
      <c r="G120" s="2">
        <v>1</v>
      </c>
      <c r="H120" s="47">
        <f>WEEKNUM(tbSabana2016[[#This Row],[Fecha de Inicio]],15)</f>
        <v>16</v>
      </c>
      <c r="I120" s="36" t="str">
        <f>TEXT(tbSabana2016[[#This Row],[Fecha de Inicio]],"dddd")</f>
        <v>martes</v>
      </c>
      <c r="J120" s="36" t="str">
        <f>TEXT(tbSabana2016[[#This Row],[Fecha de Inicio]],"mmmm")</f>
        <v>abril</v>
      </c>
      <c r="K120" s="37" t="s">
        <v>143</v>
      </c>
      <c r="L120" s="23">
        <v>9</v>
      </c>
      <c r="M120" s="38" t="s">
        <v>144</v>
      </c>
      <c r="N120" s="38" t="s">
        <v>144</v>
      </c>
      <c r="O120" s="38" t="s">
        <v>303</v>
      </c>
      <c r="P120" s="88" t="s">
        <v>421</v>
      </c>
      <c r="Q120" s="47">
        <v>19</v>
      </c>
      <c r="R120" s="102">
        <v>4</v>
      </c>
      <c r="S120" s="105">
        <v>28.36</v>
      </c>
      <c r="T120" s="102">
        <v>99</v>
      </c>
      <c r="U120" s="102">
        <v>15</v>
      </c>
      <c r="V120" s="105">
        <v>53.88</v>
      </c>
      <c r="W120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28.36'' W 99° 15' 53.88''</v>
      </c>
      <c r="X120" s="44">
        <v>2934</v>
      </c>
      <c r="Y120" s="19">
        <v>0</v>
      </c>
      <c r="Z120" s="19">
        <v>0</v>
      </c>
      <c r="AA120" s="19">
        <v>7.34</v>
      </c>
      <c r="AB120" s="19">
        <v>0</v>
      </c>
      <c r="AC120" s="19">
        <v>4</v>
      </c>
      <c r="AD120" s="19">
        <v>0</v>
      </c>
      <c r="AE120" s="19">
        <f>SUM(tbSabana2016[[#This Row],[Arbolado Adulto (HA)]:[Suelo Orgánico (HA)]])</f>
        <v>11.34</v>
      </c>
      <c r="AF120" s="9">
        <f t="shared" ref="AF120:AF128" si="81">SUM(AF119,AE120)</f>
        <v>1901.2799999999995</v>
      </c>
      <c r="AG120" s="9">
        <f>tbSabana2016[[#This Row],[Acumulado (HA)]]/tbSabana2016[[#This Row],[Incendio en el AÑO]]</f>
        <v>16.390344827586201</v>
      </c>
      <c r="AH120" s="2" t="s">
        <v>147</v>
      </c>
      <c r="AI120" s="2" t="s">
        <v>165</v>
      </c>
      <c r="AJ120" s="2" t="s">
        <v>133</v>
      </c>
      <c r="AK120" s="2" t="s">
        <v>149</v>
      </c>
      <c r="AL120" s="2" t="s">
        <v>150</v>
      </c>
      <c r="AM120" s="2" t="s">
        <v>151</v>
      </c>
      <c r="AN120" s="32">
        <v>43571.628472222219</v>
      </c>
      <c r="AO120" s="32">
        <v>43571.631944444445</v>
      </c>
      <c r="AP120" s="32">
        <v>43571.635416666664</v>
      </c>
      <c r="AQ120" s="32">
        <v>43571.696527777778</v>
      </c>
      <c r="AR120" s="32">
        <v>43571.704861111109</v>
      </c>
      <c r="AS120" s="32"/>
      <c r="AT120" s="32">
        <v>43571.805555555555</v>
      </c>
      <c r="AU120" s="32">
        <v>43571.861111111109</v>
      </c>
      <c r="AV120" s="32">
        <v>43571.895833333336</v>
      </c>
      <c r="AW120" s="40">
        <v>0.23263888888888887</v>
      </c>
      <c r="AX120" s="39">
        <v>3.472222222222222E-3</v>
      </c>
      <c r="AY120" s="39">
        <v>6.458333333333334E-2</v>
      </c>
      <c r="AZ120" s="40">
        <f>SUM(tbSabana2016[[#This Row],[Duración]])</f>
        <v>0.23263888888888887</v>
      </c>
      <c r="BA120" s="2">
        <v>0.5</v>
      </c>
      <c r="BB120" s="2">
        <v>1.5</v>
      </c>
      <c r="BC120" s="2">
        <v>0</v>
      </c>
      <c r="BD120" s="2">
        <v>0</v>
      </c>
      <c r="BE120" s="2">
        <v>1.3</v>
      </c>
      <c r="BF120" s="2">
        <v>0</v>
      </c>
      <c r="BG120" s="2">
        <v>0.8</v>
      </c>
      <c r="BH120" s="2">
        <v>2.8</v>
      </c>
      <c r="BI120" s="2">
        <v>0</v>
      </c>
      <c r="BJ120" s="2" t="s">
        <v>176</v>
      </c>
      <c r="BK120" s="2">
        <v>1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/>
      <c r="BT120" s="2">
        <v>9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3">
        <f t="shared" ref="CN120:CN127" si="82">SUM(BT120:CM120)</f>
        <v>9</v>
      </c>
      <c r="CO120" s="10">
        <f t="shared" si="62"/>
        <v>2425</v>
      </c>
      <c r="CP120" s="10">
        <f t="shared" ref="CP120:CP128" si="83">SUM(BT120:CG120,CI120:CM120)</f>
        <v>9</v>
      </c>
      <c r="CQ120" s="24">
        <f>SUM(tbSabana2016[[#This Row],[Voluntarios]])</f>
        <v>0</v>
      </c>
      <c r="CR120" s="8">
        <f>tbSabana2016[[#This Row],[CONAFOR (Oficiales)]]*383</f>
        <v>3447</v>
      </c>
      <c r="CS120" s="8">
        <f>(tbSabana2016[[#This Row],[Total (Oficiales)]]-tbSabana2016[[#This Row],[CONAFOR (Oficiales)]])*217</f>
        <v>0</v>
      </c>
      <c r="CT120" s="8">
        <f>SUM(tbSabana2016[[#This Row],[Costo CONAFOR]:[Costo Otros]])</f>
        <v>3447</v>
      </c>
      <c r="CU120" s="8">
        <v>219.89</v>
      </c>
      <c r="CV120" s="8">
        <f t="shared" ref="CV120:CV128" si="84">SUM(CT120:CU120)</f>
        <v>3666.89</v>
      </c>
      <c r="CW120" s="2" t="s">
        <v>154</v>
      </c>
      <c r="CX120" s="2" t="s">
        <v>154</v>
      </c>
      <c r="CY120" s="69" t="s">
        <v>154</v>
      </c>
      <c r="CZ120" s="2" t="s">
        <v>154</v>
      </c>
      <c r="DA120" s="2" t="s">
        <v>172</v>
      </c>
      <c r="DB120" s="2" t="s">
        <v>155</v>
      </c>
      <c r="DC120" s="87" t="s">
        <v>156</v>
      </c>
      <c r="DD120" s="2" t="s">
        <v>157</v>
      </c>
      <c r="DE120" s="2" t="s">
        <v>158</v>
      </c>
      <c r="DF120" s="2" t="s">
        <v>159</v>
      </c>
      <c r="DG120" s="2" t="s">
        <v>160</v>
      </c>
      <c r="DH120" s="2">
        <v>0</v>
      </c>
      <c r="DI120" s="2">
        <v>0</v>
      </c>
      <c r="DJ120" s="2">
        <v>7.34</v>
      </c>
      <c r="DK120" s="2">
        <v>0</v>
      </c>
      <c r="DL120" s="2">
        <v>4</v>
      </c>
      <c r="DM120" s="2">
        <v>0</v>
      </c>
      <c r="DN120" s="2">
        <f t="shared" ref="DN120:DN128" si="85">SUM(DH120:DM120)</f>
        <v>11.34</v>
      </c>
      <c r="DO120" s="46"/>
      <c r="DP120" s="2"/>
      <c r="DQ120" s="2"/>
      <c r="DR120" s="2"/>
      <c r="DS120" s="2"/>
      <c r="DT120" s="2"/>
      <c r="DU120" s="2"/>
      <c r="DV120" s="2"/>
    </row>
    <row r="121" spans="1:126" s="26" customFormat="1" x14ac:dyDescent="0.25">
      <c r="A121" s="2" t="s">
        <v>609</v>
      </c>
      <c r="B121" s="25">
        <v>117</v>
      </c>
      <c r="C121" s="35">
        <v>43571</v>
      </c>
      <c r="D121" s="35">
        <v>43572</v>
      </c>
      <c r="E121" s="4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21" s="2">
        <v>21</v>
      </c>
      <c r="G121" s="2">
        <v>1</v>
      </c>
      <c r="H121" s="47">
        <f>WEEKNUM(tbSabana2016[[#This Row],[Fecha de Inicio]],15)</f>
        <v>16</v>
      </c>
      <c r="I121" s="36" t="str">
        <f>TEXT(tbSabana2016[[#This Row],[Fecha de Inicio]],"dddd")</f>
        <v>martes</v>
      </c>
      <c r="J121" s="36" t="str">
        <f>TEXT(tbSabana2016[[#This Row],[Fecha de Inicio]],"mmmm")</f>
        <v>abril</v>
      </c>
      <c r="K121" s="37" t="s">
        <v>143</v>
      </c>
      <c r="L121" s="23">
        <v>9</v>
      </c>
      <c r="M121" s="38" t="s">
        <v>144</v>
      </c>
      <c r="N121" s="38" t="s">
        <v>144</v>
      </c>
      <c r="O121" s="38" t="s">
        <v>610</v>
      </c>
      <c r="P121" s="88" t="s">
        <v>249</v>
      </c>
      <c r="Q121" s="47">
        <v>19</v>
      </c>
      <c r="R121" s="102">
        <v>4</v>
      </c>
      <c r="S121" s="105">
        <v>28.11</v>
      </c>
      <c r="T121" s="102">
        <v>99</v>
      </c>
      <c r="U121" s="102">
        <v>15</v>
      </c>
      <c r="V121" s="105">
        <v>27</v>
      </c>
      <c r="W121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28.11'' W 99° 15' 27.00''</v>
      </c>
      <c r="X121" s="44">
        <v>2850</v>
      </c>
      <c r="Y121" s="19">
        <v>0</v>
      </c>
      <c r="Z121" s="19">
        <v>0</v>
      </c>
      <c r="AA121" s="19">
        <v>3.41</v>
      </c>
      <c r="AB121" s="19">
        <v>3</v>
      </c>
      <c r="AC121" s="19">
        <v>2</v>
      </c>
      <c r="AD121" s="19">
        <v>0</v>
      </c>
      <c r="AE121" s="19">
        <f>SUM(tbSabana2016[[#This Row],[Arbolado Adulto (HA)]:[Suelo Orgánico (HA)]])</f>
        <v>8.41</v>
      </c>
      <c r="AF121" s="9">
        <f t="shared" si="81"/>
        <v>1909.6899999999996</v>
      </c>
      <c r="AG121" s="9">
        <f>tbSabana2016[[#This Row],[Acumulado (HA)]]/tbSabana2016[[#This Row],[Incendio en el AÑO]]</f>
        <v>16.32213675213675</v>
      </c>
      <c r="AH121" s="2" t="s">
        <v>147</v>
      </c>
      <c r="AI121" s="2" t="s">
        <v>165</v>
      </c>
      <c r="AJ121" s="2" t="s">
        <v>133</v>
      </c>
      <c r="AK121" s="2" t="s">
        <v>149</v>
      </c>
      <c r="AL121" s="2" t="s">
        <v>150</v>
      </c>
      <c r="AM121" s="2" t="s">
        <v>151</v>
      </c>
      <c r="AN121" s="32">
        <v>43571.652777777781</v>
      </c>
      <c r="AO121" s="32">
        <v>43571.65625</v>
      </c>
      <c r="AP121" s="32">
        <v>43571.659722222219</v>
      </c>
      <c r="AQ121" s="32">
        <v>43571.729166666664</v>
      </c>
      <c r="AR121" s="32">
        <v>43571.736111111109</v>
      </c>
      <c r="AS121" s="32"/>
      <c r="AT121" s="32">
        <v>43572.708333333336</v>
      </c>
      <c r="AU121" s="32">
        <v>43572.75</v>
      </c>
      <c r="AV121" s="32">
        <v>43572.833333333336</v>
      </c>
      <c r="AW121" s="40">
        <v>1.0972222222222221</v>
      </c>
      <c r="AX121" s="39">
        <v>3.472222222222222E-3</v>
      </c>
      <c r="AY121" s="39">
        <v>7.2916666666666671E-2</v>
      </c>
      <c r="AZ121" s="40">
        <f>SUM(tbSabana2016[[#This Row],[Duración]])</f>
        <v>1.0972222222222221</v>
      </c>
      <c r="BA121" s="2">
        <v>0.9</v>
      </c>
      <c r="BB121" s="2">
        <v>2.8</v>
      </c>
      <c r="BC121" s="2">
        <v>0</v>
      </c>
      <c r="BD121" s="2">
        <v>0</v>
      </c>
      <c r="BE121" s="2">
        <v>0.7</v>
      </c>
      <c r="BF121" s="2">
        <v>0</v>
      </c>
      <c r="BG121" s="2">
        <v>0.6</v>
      </c>
      <c r="BH121" s="2">
        <v>2.5</v>
      </c>
      <c r="BI121" s="2">
        <v>0</v>
      </c>
      <c r="BJ121" s="2" t="s">
        <v>167</v>
      </c>
      <c r="BK121" s="2">
        <v>1</v>
      </c>
      <c r="BL121" s="2">
        <v>0</v>
      </c>
      <c r="BM121" s="2">
        <v>1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 t="s">
        <v>632</v>
      </c>
      <c r="BT121" s="2">
        <v>15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14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3">
        <f t="shared" si="82"/>
        <v>29</v>
      </c>
      <c r="CO121" s="10">
        <f t="shared" si="62"/>
        <v>2454</v>
      </c>
      <c r="CP121" s="10">
        <f t="shared" si="83"/>
        <v>29</v>
      </c>
      <c r="CQ121" s="24">
        <f>SUM(tbSabana2016[[#This Row],[Voluntarios]])</f>
        <v>0</v>
      </c>
      <c r="CR121" s="8">
        <f>tbSabana2016[[#This Row],[CONAFOR (Oficiales)]]*383</f>
        <v>5745</v>
      </c>
      <c r="CS121" s="8">
        <f>(tbSabana2016[[#This Row],[Total (Oficiales)]]-tbSabana2016[[#This Row],[CONAFOR (Oficiales)]])*217</f>
        <v>3038</v>
      </c>
      <c r="CT121" s="8">
        <f>SUM(tbSabana2016[[#This Row],[Costo CONAFOR]:[Costo Otros]])</f>
        <v>8783</v>
      </c>
      <c r="CU121" s="8">
        <v>667.66</v>
      </c>
      <c r="CV121" s="8">
        <f t="shared" si="84"/>
        <v>9450.66</v>
      </c>
      <c r="CW121" s="2" t="s">
        <v>154</v>
      </c>
      <c r="CX121" s="2" t="s">
        <v>154</v>
      </c>
      <c r="CY121" s="69" t="s">
        <v>154</v>
      </c>
      <c r="CZ121" s="2" t="s">
        <v>154</v>
      </c>
      <c r="DA121" s="2" t="s">
        <v>172</v>
      </c>
      <c r="DB121" s="2" t="s">
        <v>155</v>
      </c>
      <c r="DC121" s="2" t="s">
        <v>468</v>
      </c>
      <c r="DD121" s="2" t="s">
        <v>311</v>
      </c>
      <c r="DE121" s="2" t="s">
        <v>158</v>
      </c>
      <c r="DF121" s="2" t="s">
        <v>159</v>
      </c>
      <c r="DG121" s="2" t="s">
        <v>160</v>
      </c>
      <c r="DH121" s="2">
        <v>0</v>
      </c>
      <c r="DI121" s="2">
        <v>0</v>
      </c>
      <c r="DJ121" s="2">
        <v>3.41</v>
      </c>
      <c r="DK121" s="2">
        <v>3</v>
      </c>
      <c r="DL121" s="2">
        <v>2</v>
      </c>
      <c r="DM121" s="2">
        <v>0</v>
      </c>
      <c r="DN121" s="2">
        <f t="shared" si="85"/>
        <v>8.41</v>
      </c>
      <c r="DO121" s="46"/>
      <c r="DP121" s="2"/>
      <c r="DQ121" s="2"/>
      <c r="DR121" s="2"/>
      <c r="DS121" s="2"/>
      <c r="DT121" s="2"/>
      <c r="DU121" s="2"/>
      <c r="DV121" s="2"/>
    </row>
    <row r="122" spans="1:126" s="26" customFormat="1" x14ac:dyDescent="0.25">
      <c r="A122" s="2" t="s">
        <v>611</v>
      </c>
      <c r="B122" s="25">
        <v>118</v>
      </c>
      <c r="C122" s="35">
        <v>43572</v>
      </c>
      <c r="D122" s="35">
        <v>43572</v>
      </c>
      <c r="E122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2" s="2">
        <v>22</v>
      </c>
      <c r="G122" s="2">
        <v>1</v>
      </c>
      <c r="H122" s="47">
        <f>WEEKNUM(tbSabana2016[[#This Row],[Fecha de Inicio]],15)</f>
        <v>16</v>
      </c>
      <c r="I122" s="36" t="str">
        <f>TEXT(tbSabana2016[[#This Row],[Fecha de Inicio]],"dddd")</f>
        <v>miércoles</v>
      </c>
      <c r="J122" s="36" t="str">
        <f>TEXT(tbSabana2016[[#This Row],[Fecha de Inicio]],"mmmm")</f>
        <v>abril</v>
      </c>
      <c r="K122" s="37" t="s">
        <v>143</v>
      </c>
      <c r="L122" s="23">
        <v>9</v>
      </c>
      <c r="M122" s="38" t="s">
        <v>144</v>
      </c>
      <c r="N122" s="38" t="s">
        <v>144</v>
      </c>
      <c r="O122" s="38" t="s">
        <v>612</v>
      </c>
      <c r="P122" s="88"/>
      <c r="Q122" s="47">
        <v>19</v>
      </c>
      <c r="R122" s="102">
        <v>2</v>
      </c>
      <c r="S122" s="105">
        <v>0.2</v>
      </c>
      <c r="T122" s="102">
        <v>99</v>
      </c>
      <c r="U122" s="102">
        <v>16</v>
      </c>
      <c r="V122" s="105">
        <v>54.4</v>
      </c>
      <c r="W122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00.20'' W 99° 16' 54.40''</v>
      </c>
      <c r="X122" s="44">
        <v>2891</v>
      </c>
      <c r="Y122" s="19">
        <v>0</v>
      </c>
      <c r="Z122" s="19">
        <v>0</v>
      </c>
      <c r="AA122" s="19">
        <v>0.2</v>
      </c>
      <c r="AB122" s="19">
        <v>0</v>
      </c>
      <c r="AC122" s="19">
        <v>0.4</v>
      </c>
      <c r="AD122" s="19">
        <v>0</v>
      </c>
      <c r="AE122" s="19">
        <f>SUM(tbSabana2016[[#This Row],[Arbolado Adulto (HA)]:[Suelo Orgánico (HA)]])</f>
        <v>0.60000000000000009</v>
      </c>
      <c r="AF122" s="9">
        <f t="shared" si="81"/>
        <v>1910.2899999999995</v>
      </c>
      <c r="AG122" s="9">
        <f>tbSabana2016[[#This Row],[Acumulado (HA)]]/tbSabana2016[[#This Row],[Incendio en el AÑO]]</f>
        <v>16.188898305084741</v>
      </c>
      <c r="AH122" s="2" t="s">
        <v>147</v>
      </c>
      <c r="AI122" s="2" t="s">
        <v>165</v>
      </c>
      <c r="AJ122" s="2" t="s">
        <v>521</v>
      </c>
      <c r="AK122" s="2" t="s">
        <v>522</v>
      </c>
      <c r="AL122" s="2" t="s">
        <v>150</v>
      </c>
      <c r="AM122" s="2" t="s">
        <v>151</v>
      </c>
      <c r="AN122" s="32">
        <v>43572.347222222219</v>
      </c>
      <c r="AO122" s="32">
        <v>43572.352777777778</v>
      </c>
      <c r="AP122" s="32">
        <v>43572.354166666664</v>
      </c>
      <c r="AQ122" s="32">
        <v>43572.375</v>
      </c>
      <c r="AR122" s="32">
        <v>43572.416666666664</v>
      </c>
      <c r="AS122" s="32"/>
      <c r="AT122" s="32">
        <v>43572.583333333336</v>
      </c>
      <c r="AU122" s="32">
        <v>43572.625</v>
      </c>
      <c r="AV122" s="32">
        <v>43572.680555555555</v>
      </c>
      <c r="AW122" s="40">
        <v>0.27777777777777779</v>
      </c>
      <c r="AX122" s="39">
        <v>5.5555555555555558E-3</v>
      </c>
      <c r="AY122" s="39">
        <v>2.2222222222222223E-2</v>
      </c>
      <c r="AZ122" s="40">
        <f>SUM(tbSabana2016[[#This Row],[Duración]])</f>
        <v>0.27777777777777779</v>
      </c>
      <c r="BA122" s="2">
        <v>0</v>
      </c>
      <c r="BB122" s="2">
        <v>0.08</v>
      </c>
      <c r="BC122" s="2">
        <v>0</v>
      </c>
      <c r="BD122" s="2">
        <v>0</v>
      </c>
      <c r="BE122" s="2">
        <v>0.02</v>
      </c>
      <c r="BF122" s="2">
        <v>0</v>
      </c>
      <c r="BG122" s="2">
        <v>0</v>
      </c>
      <c r="BH122" s="2">
        <v>0.08</v>
      </c>
      <c r="BI122" s="2">
        <v>0</v>
      </c>
      <c r="BJ122" s="2" t="s">
        <v>179</v>
      </c>
      <c r="BK122" s="2">
        <v>0</v>
      </c>
      <c r="BL122" s="2">
        <v>0</v>
      </c>
      <c r="BM122" s="2">
        <v>0</v>
      </c>
      <c r="BN122" s="2">
        <v>1</v>
      </c>
      <c r="BO122" s="2">
        <v>0</v>
      </c>
      <c r="BP122" s="2">
        <v>0</v>
      </c>
      <c r="BQ122" s="2">
        <v>0</v>
      </c>
      <c r="BR122" s="2">
        <v>0</v>
      </c>
      <c r="BS122" s="2" t="s">
        <v>497</v>
      </c>
      <c r="BT122" s="2">
        <v>8</v>
      </c>
      <c r="BU122" s="2">
        <v>0</v>
      </c>
      <c r="BV122" s="2">
        <v>0</v>
      </c>
      <c r="BW122" s="2">
        <v>0</v>
      </c>
      <c r="BX122" s="2">
        <v>0</v>
      </c>
      <c r="BY122" s="2">
        <v>9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3">
        <f t="shared" si="82"/>
        <v>17</v>
      </c>
      <c r="CO122" s="10">
        <f t="shared" si="62"/>
        <v>2471</v>
      </c>
      <c r="CP122" s="10">
        <f t="shared" si="83"/>
        <v>17</v>
      </c>
      <c r="CQ122" s="24">
        <f>SUM(tbSabana2016[[#This Row],[Voluntarios]])</f>
        <v>0</v>
      </c>
      <c r="CR122" s="8">
        <f>tbSabana2016[[#This Row],[CONAFOR (Oficiales)]]*383</f>
        <v>3064</v>
      </c>
      <c r="CS122" s="8">
        <f>(tbSabana2016[[#This Row],[Total (Oficiales)]]-tbSabana2016[[#This Row],[CONAFOR (Oficiales)]])*217</f>
        <v>1953</v>
      </c>
      <c r="CT122" s="8">
        <f>SUM(tbSabana2016[[#This Row],[Costo CONAFOR]:[Costo Otros]])</f>
        <v>5017</v>
      </c>
      <c r="CU122" s="8">
        <v>255.87</v>
      </c>
      <c r="CV122" s="8">
        <f t="shared" si="84"/>
        <v>5272.87</v>
      </c>
      <c r="CW122" s="2" t="s">
        <v>154</v>
      </c>
      <c r="CX122" s="2" t="s">
        <v>154</v>
      </c>
      <c r="CY122" s="69" t="s">
        <v>154</v>
      </c>
      <c r="CZ122" s="2" t="s">
        <v>154</v>
      </c>
      <c r="DA122" s="2" t="s">
        <v>457</v>
      </c>
      <c r="DB122" s="2" t="s">
        <v>155</v>
      </c>
      <c r="DC122" s="2" t="s">
        <v>256</v>
      </c>
      <c r="DD122" s="2" t="s">
        <v>257</v>
      </c>
      <c r="DE122" s="2" t="s">
        <v>158</v>
      </c>
      <c r="DF122" s="2" t="s">
        <v>159</v>
      </c>
      <c r="DG122" s="2" t="s">
        <v>160</v>
      </c>
      <c r="DH122" s="2">
        <v>0</v>
      </c>
      <c r="DI122" s="2">
        <v>0</v>
      </c>
      <c r="DJ122" s="2">
        <v>0.2</v>
      </c>
      <c r="DK122" s="2">
        <v>0</v>
      </c>
      <c r="DL122" s="2">
        <v>0.4</v>
      </c>
      <c r="DM122" s="2">
        <v>0</v>
      </c>
      <c r="DN122" s="2">
        <f t="shared" si="85"/>
        <v>0.60000000000000009</v>
      </c>
      <c r="DO122" s="46"/>
      <c r="DP122" s="2"/>
      <c r="DQ122" s="2"/>
      <c r="DR122" s="2"/>
      <c r="DS122" s="2"/>
      <c r="DT122" s="2"/>
      <c r="DU122" s="2"/>
      <c r="DV122" s="2"/>
    </row>
    <row r="123" spans="1:126" s="26" customFormat="1" x14ac:dyDescent="0.25">
      <c r="A123" s="2" t="s">
        <v>613</v>
      </c>
      <c r="B123" s="25">
        <v>119</v>
      </c>
      <c r="C123" s="35">
        <v>43572</v>
      </c>
      <c r="D123" s="35">
        <v>43572</v>
      </c>
      <c r="E123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3" s="2">
        <v>23</v>
      </c>
      <c r="G123" s="2">
        <v>1</v>
      </c>
      <c r="H123" s="47">
        <f>WEEKNUM(tbSabana2016[[#This Row],[Fecha de Inicio]],15)</f>
        <v>16</v>
      </c>
      <c r="I123" s="36" t="str">
        <f>TEXT(tbSabana2016[[#This Row],[Fecha de Inicio]],"dddd")</f>
        <v>miércoles</v>
      </c>
      <c r="J123" s="36" t="str">
        <f>TEXT(tbSabana2016[[#This Row],[Fecha de Inicio]],"mmmm")</f>
        <v>abril</v>
      </c>
      <c r="K123" s="37" t="s">
        <v>143</v>
      </c>
      <c r="L123" s="23">
        <v>20</v>
      </c>
      <c r="M123" s="38" t="s">
        <v>162</v>
      </c>
      <c r="N123" s="38" t="s">
        <v>163</v>
      </c>
      <c r="O123" s="38" t="s">
        <v>614</v>
      </c>
      <c r="P123" s="88" t="s">
        <v>146</v>
      </c>
      <c r="Q123" s="47">
        <v>19</v>
      </c>
      <c r="R123" s="102">
        <v>0</v>
      </c>
      <c r="S123" s="105">
        <v>3.82</v>
      </c>
      <c r="T123" s="102">
        <v>99</v>
      </c>
      <c r="U123" s="102">
        <v>9</v>
      </c>
      <c r="V123" s="105">
        <v>26.94</v>
      </c>
      <c r="W123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03.82'' W 99° 09' 26.94''</v>
      </c>
      <c r="X123" s="44">
        <v>1919</v>
      </c>
      <c r="Y123" s="19">
        <v>0</v>
      </c>
      <c r="Z123" s="19">
        <v>0</v>
      </c>
      <c r="AA123" s="19">
        <v>1</v>
      </c>
      <c r="AB123" s="19">
        <v>1.18</v>
      </c>
      <c r="AC123" s="19">
        <v>0</v>
      </c>
      <c r="AD123" s="19">
        <v>0</v>
      </c>
      <c r="AE123" s="19">
        <f>SUM(tbSabana2016[[#This Row],[Arbolado Adulto (HA)]:[Suelo Orgánico (HA)]])</f>
        <v>2.1799999999999997</v>
      </c>
      <c r="AF123" s="9">
        <f t="shared" si="81"/>
        <v>1912.4699999999996</v>
      </c>
      <c r="AG123" s="9">
        <f>tbSabana2016[[#This Row],[Acumulado (HA)]]/tbSabana2016[[#This Row],[Incendio en el AÑO]]</f>
        <v>16.071176470588231</v>
      </c>
      <c r="AH123" s="2" t="s">
        <v>147</v>
      </c>
      <c r="AI123" s="2" t="s">
        <v>165</v>
      </c>
      <c r="AJ123" s="2" t="s">
        <v>134</v>
      </c>
      <c r="AK123" s="2" t="s">
        <v>200</v>
      </c>
      <c r="AL123" s="2" t="s">
        <v>150</v>
      </c>
      <c r="AM123" s="2" t="s">
        <v>151</v>
      </c>
      <c r="AN123" s="32">
        <v>43572.677083333336</v>
      </c>
      <c r="AO123" s="32">
        <v>43572.679166666669</v>
      </c>
      <c r="AP123" s="32">
        <v>43572.680555555555</v>
      </c>
      <c r="AQ123" s="32">
        <v>43572.701388888891</v>
      </c>
      <c r="AR123" s="32">
        <v>43572.704861111109</v>
      </c>
      <c r="AS123" s="32"/>
      <c r="AT123" s="32">
        <v>43572.833333333336</v>
      </c>
      <c r="AU123" s="32">
        <v>43572.895833333336</v>
      </c>
      <c r="AV123" s="32">
        <v>43572.9375</v>
      </c>
      <c r="AW123" s="40">
        <v>0.21875</v>
      </c>
      <c r="AX123" s="39">
        <v>2.0833333333333333E-3</v>
      </c>
      <c r="AY123" s="39">
        <v>2.2222222222222223E-2</v>
      </c>
      <c r="AZ123" s="40">
        <f>SUM(tbSabana2016[[#This Row],[Duración]])</f>
        <v>0.21875</v>
      </c>
      <c r="BA123" s="2">
        <v>0.06</v>
      </c>
      <c r="BB123" s="2">
        <v>0.3</v>
      </c>
      <c r="BC123" s="2">
        <v>0</v>
      </c>
      <c r="BD123" s="2">
        <v>0</v>
      </c>
      <c r="BE123" s="2">
        <v>0.04</v>
      </c>
      <c r="BF123" s="2">
        <v>0</v>
      </c>
      <c r="BG123" s="2">
        <v>0</v>
      </c>
      <c r="BH123" s="2">
        <v>0.6</v>
      </c>
      <c r="BI123" s="2">
        <v>0</v>
      </c>
      <c r="BJ123" s="2" t="s">
        <v>179</v>
      </c>
      <c r="BK123" s="2">
        <v>0</v>
      </c>
      <c r="BL123" s="2">
        <v>0</v>
      </c>
      <c r="BM123" s="2">
        <v>0</v>
      </c>
      <c r="BN123" s="2">
        <v>1</v>
      </c>
      <c r="BO123" s="2">
        <v>0</v>
      </c>
      <c r="BP123" s="2">
        <v>0</v>
      </c>
      <c r="BQ123" s="2">
        <v>0</v>
      </c>
      <c r="BR123" s="2">
        <v>0</v>
      </c>
      <c r="BS123" s="2" t="s">
        <v>497</v>
      </c>
      <c r="BT123" s="2">
        <v>9</v>
      </c>
      <c r="BU123" s="2">
        <v>0</v>
      </c>
      <c r="BV123" s="2">
        <v>0</v>
      </c>
      <c r="BW123" s="2">
        <v>0</v>
      </c>
      <c r="BX123" s="2">
        <v>0</v>
      </c>
      <c r="BY123" s="2">
        <v>9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3">
        <f t="shared" si="82"/>
        <v>18</v>
      </c>
      <c r="CO123" s="10">
        <f t="shared" si="62"/>
        <v>2489</v>
      </c>
      <c r="CP123" s="10">
        <f t="shared" si="83"/>
        <v>18</v>
      </c>
      <c r="CQ123" s="24">
        <f>SUM(tbSabana2016[[#This Row],[Voluntarios]])</f>
        <v>0</v>
      </c>
      <c r="CR123" s="8">
        <f>tbSabana2016[[#This Row],[CONAFOR (Oficiales)]]*383</f>
        <v>3447</v>
      </c>
      <c r="CS123" s="8">
        <f>(tbSabana2016[[#This Row],[Total (Oficiales)]]-tbSabana2016[[#This Row],[CONAFOR (Oficiales)]])*217</f>
        <v>1953</v>
      </c>
      <c r="CT123" s="8">
        <f>SUM(tbSabana2016[[#This Row],[Costo CONAFOR]:[Costo Otros]])</f>
        <v>5400</v>
      </c>
      <c r="CU123" s="8">
        <v>337.83</v>
      </c>
      <c r="CV123" s="8">
        <f t="shared" si="84"/>
        <v>5737.83</v>
      </c>
      <c r="CW123" s="2" t="s">
        <v>154</v>
      </c>
      <c r="CX123" s="2" t="s">
        <v>154</v>
      </c>
      <c r="CY123" s="69" t="s">
        <v>154</v>
      </c>
      <c r="CZ123" s="2" t="s">
        <v>154</v>
      </c>
      <c r="DA123" s="2" t="s">
        <v>172</v>
      </c>
      <c r="DB123" s="2" t="s">
        <v>155</v>
      </c>
      <c r="DC123" s="25" t="s">
        <v>156</v>
      </c>
      <c r="DD123" s="2" t="s">
        <v>157</v>
      </c>
      <c r="DE123" s="2" t="s">
        <v>170</v>
      </c>
      <c r="DF123" s="2" t="s">
        <v>159</v>
      </c>
      <c r="DG123" s="2" t="s">
        <v>475</v>
      </c>
      <c r="DH123" s="2">
        <v>0</v>
      </c>
      <c r="DI123" s="2">
        <v>0</v>
      </c>
      <c r="DJ123" s="2">
        <v>1</v>
      </c>
      <c r="DK123" s="2">
        <v>1.18</v>
      </c>
      <c r="DL123" s="2">
        <v>0</v>
      </c>
      <c r="DM123" s="2">
        <v>0</v>
      </c>
      <c r="DN123" s="2">
        <f t="shared" si="85"/>
        <v>2.1799999999999997</v>
      </c>
      <c r="DO123" s="46"/>
      <c r="DP123" s="2"/>
      <c r="DQ123" s="2"/>
      <c r="DR123" s="2"/>
      <c r="DS123" s="2"/>
      <c r="DT123" s="2"/>
      <c r="DU123" s="2"/>
      <c r="DV123" s="2"/>
    </row>
    <row r="124" spans="1:126" s="26" customFormat="1" x14ac:dyDescent="0.25">
      <c r="A124" s="2" t="s">
        <v>615</v>
      </c>
      <c r="B124" s="25">
        <v>120</v>
      </c>
      <c r="C124" s="35">
        <v>43575</v>
      </c>
      <c r="D124" s="35">
        <v>43575</v>
      </c>
      <c r="E124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4" s="2">
        <v>24</v>
      </c>
      <c r="G124" s="2">
        <v>1</v>
      </c>
      <c r="H124" s="47">
        <f>WEEKNUM(tbSabana2016[[#This Row],[Fecha de Inicio]],15)</f>
        <v>17</v>
      </c>
      <c r="I124" s="36" t="str">
        <f>TEXT(tbSabana2016[[#This Row],[Fecha de Inicio]],"dddd")</f>
        <v>sábado</v>
      </c>
      <c r="J124" s="36" t="str">
        <f>TEXT(tbSabana2016[[#This Row],[Fecha de Inicio]],"mmmm")</f>
        <v>abril</v>
      </c>
      <c r="K124" s="37" t="s">
        <v>143</v>
      </c>
      <c r="L124" s="23">
        <v>9</v>
      </c>
      <c r="M124" s="38" t="s">
        <v>144</v>
      </c>
      <c r="N124" s="38" t="s">
        <v>144</v>
      </c>
      <c r="O124" s="38" t="s">
        <v>633</v>
      </c>
      <c r="P124" s="88" t="s">
        <v>453</v>
      </c>
      <c r="Q124" s="47">
        <v>19</v>
      </c>
      <c r="R124" s="102">
        <v>0</v>
      </c>
      <c r="S124" s="105">
        <v>11.4</v>
      </c>
      <c r="T124" s="102">
        <v>99</v>
      </c>
      <c r="U124" s="102">
        <v>15</v>
      </c>
      <c r="V124" s="105">
        <v>37.4</v>
      </c>
      <c r="W124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11.40'' W 99° 15' 37.40''</v>
      </c>
      <c r="X124" s="44">
        <v>2166</v>
      </c>
      <c r="Y124" s="19">
        <v>0</v>
      </c>
      <c r="Z124" s="19">
        <v>0</v>
      </c>
      <c r="AA124" s="19">
        <v>0.4</v>
      </c>
      <c r="AB124" s="19">
        <v>0.5</v>
      </c>
      <c r="AC124" s="19">
        <v>0</v>
      </c>
      <c r="AD124" s="19">
        <v>0</v>
      </c>
      <c r="AE124" s="19">
        <f>SUM(tbSabana2016[[#This Row],[Arbolado Adulto (HA)]:[Suelo Orgánico (HA)]])</f>
        <v>0.9</v>
      </c>
      <c r="AF124" s="9">
        <f t="shared" si="81"/>
        <v>1913.3699999999997</v>
      </c>
      <c r="AG124" s="9">
        <f>tbSabana2016[[#This Row],[Acumulado (HA)]]/tbSabana2016[[#This Row],[Incendio en el AÑO]]</f>
        <v>15.944749999999997</v>
      </c>
      <c r="AH124" s="2" t="s">
        <v>147</v>
      </c>
      <c r="AI124" s="2" t="s">
        <v>165</v>
      </c>
      <c r="AJ124" s="2" t="s">
        <v>134</v>
      </c>
      <c r="AK124" s="2" t="s">
        <v>183</v>
      </c>
      <c r="AL124" s="2" t="s">
        <v>150</v>
      </c>
      <c r="AM124" s="2" t="s">
        <v>151</v>
      </c>
      <c r="AN124" s="32">
        <v>43575.722222222219</v>
      </c>
      <c r="AO124" s="32">
        <v>43575.725694444445</v>
      </c>
      <c r="AP124" s="32">
        <v>43575.729166666664</v>
      </c>
      <c r="AQ124" s="32">
        <v>43575.75</v>
      </c>
      <c r="AR124" s="32">
        <v>43575.756944444445</v>
      </c>
      <c r="AS124" s="32"/>
      <c r="AT124" s="32">
        <v>43575.833333333336</v>
      </c>
      <c r="AU124" s="32">
        <v>43575.854166666664</v>
      </c>
      <c r="AV124" s="32">
        <v>43575.875</v>
      </c>
      <c r="AW124" s="40">
        <v>0.13194444444444445</v>
      </c>
      <c r="AX124" s="39">
        <v>3.472222222222222E-3</v>
      </c>
      <c r="AY124" s="39">
        <v>2.4305555555555556E-2</v>
      </c>
      <c r="AZ124" s="40">
        <f>SUM(tbSabana2016[[#This Row],[Duración]])</f>
        <v>0.13194444444444445</v>
      </c>
      <c r="BA124" s="2">
        <v>0</v>
      </c>
      <c r="BB124" s="2">
        <v>0.25</v>
      </c>
      <c r="BC124" s="2">
        <v>0</v>
      </c>
      <c r="BD124" s="2">
        <v>0</v>
      </c>
      <c r="BE124" s="2">
        <v>0.05</v>
      </c>
      <c r="BF124" s="2">
        <v>0</v>
      </c>
      <c r="BG124" s="2">
        <v>0</v>
      </c>
      <c r="BH124" s="2">
        <v>0</v>
      </c>
      <c r="BI124" s="2">
        <v>0</v>
      </c>
      <c r="BJ124" s="2" t="s">
        <v>206</v>
      </c>
      <c r="BK124" s="2">
        <v>0</v>
      </c>
      <c r="BL124" s="2">
        <v>0</v>
      </c>
      <c r="BM124" s="2">
        <v>1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 t="s">
        <v>616</v>
      </c>
      <c r="BT124" s="2">
        <v>9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4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3">
        <f t="shared" si="82"/>
        <v>13</v>
      </c>
      <c r="CO124" s="10">
        <f t="shared" si="62"/>
        <v>2502</v>
      </c>
      <c r="CP124" s="10">
        <f t="shared" si="83"/>
        <v>13</v>
      </c>
      <c r="CQ124" s="24">
        <f>SUM(tbSabana2016[[#This Row],[Voluntarios]])</f>
        <v>0</v>
      </c>
      <c r="CR124" s="8">
        <f>tbSabana2016[[#This Row],[CONAFOR (Oficiales)]]*383</f>
        <v>3447</v>
      </c>
      <c r="CS124" s="8">
        <f>(tbSabana2016[[#This Row],[Total (Oficiales)]]-tbSabana2016[[#This Row],[CONAFOR (Oficiales)]])*217</f>
        <v>868</v>
      </c>
      <c r="CT124" s="8">
        <f>SUM(tbSabana2016[[#This Row],[Costo CONAFOR]:[Costo Otros]])</f>
        <v>4315</v>
      </c>
      <c r="CU124" s="8">
        <v>114</v>
      </c>
      <c r="CV124" s="8">
        <f t="shared" si="84"/>
        <v>4429</v>
      </c>
      <c r="CW124" s="2" t="s">
        <v>154</v>
      </c>
      <c r="CX124" s="2" t="s">
        <v>154</v>
      </c>
      <c r="CY124" s="69" t="s">
        <v>154</v>
      </c>
      <c r="CZ124" s="2" t="s">
        <v>154</v>
      </c>
      <c r="DA124" s="2" t="s">
        <v>172</v>
      </c>
      <c r="DB124" s="2" t="s">
        <v>155</v>
      </c>
      <c r="DC124" s="87" t="s">
        <v>156</v>
      </c>
      <c r="DD124" s="2" t="s">
        <v>157</v>
      </c>
      <c r="DE124" s="2" t="s">
        <v>158</v>
      </c>
      <c r="DF124" s="2" t="s">
        <v>159</v>
      </c>
      <c r="DG124" s="2" t="s">
        <v>160</v>
      </c>
      <c r="DH124" s="2">
        <v>0</v>
      </c>
      <c r="DI124" s="2">
        <v>0</v>
      </c>
      <c r="DJ124" s="2">
        <v>0.4</v>
      </c>
      <c r="DK124" s="2">
        <v>0.5</v>
      </c>
      <c r="DL124" s="2">
        <v>0</v>
      </c>
      <c r="DM124" s="2">
        <v>0</v>
      </c>
      <c r="DN124" s="2">
        <f t="shared" si="85"/>
        <v>0.9</v>
      </c>
      <c r="DO124" s="46"/>
      <c r="DP124" s="2"/>
      <c r="DQ124" s="2"/>
      <c r="DR124" s="2"/>
      <c r="DS124" s="2"/>
      <c r="DT124" s="2"/>
      <c r="DU124" s="2"/>
      <c r="DV124" s="2"/>
    </row>
    <row r="125" spans="1:126" s="127" customFormat="1" x14ac:dyDescent="0.25">
      <c r="A125" s="86" t="s">
        <v>617</v>
      </c>
      <c r="B125" s="107">
        <v>121</v>
      </c>
      <c r="C125" s="108">
        <v>43575</v>
      </c>
      <c r="D125" s="108">
        <v>43575</v>
      </c>
      <c r="E125" s="109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5" s="107">
        <v>25</v>
      </c>
      <c r="G125" s="2">
        <v>1</v>
      </c>
      <c r="H125" s="109">
        <f>WEEKNUM(tbSabana2016[[#This Row],[Fecha de Inicio]],15)</f>
        <v>17</v>
      </c>
      <c r="I125" s="110" t="str">
        <f>TEXT(tbSabana2016[[#This Row],[Fecha de Inicio]],"dddd")</f>
        <v>sábado</v>
      </c>
      <c r="J125" s="110" t="str">
        <f>TEXT(tbSabana2016[[#This Row],[Fecha de Inicio]],"mmmm")</f>
        <v>abril</v>
      </c>
      <c r="K125" s="110" t="s">
        <v>143</v>
      </c>
      <c r="L125" s="111">
        <v>30</v>
      </c>
      <c r="M125" s="112" t="s">
        <v>624</v>
      </c>
      <c r="N125" s="112" t="s">
        <v>624</v>
      </c>
      <c r="O125" s="112" t="s">
        <v>626</v>
      </c>
      <c r="P125" s="113"/>
      <c r="Q125" s="109">
        <v>18</v>
      </c>
      <c r="R125" s="114">
        <v>55</v>
      </c>
      <c r="S125" s="115">
        <v>22.81</v>
      </c>
      <c r="T125" s="114">
        <v>98</v>
      </c>
      <c r="U125" s="114">
        <v>49</v>
      </c>
      <c r="V125" s="115">
        <v>50.85</v>
      </c>
      <c r="W125" s="116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55' 22.81'' W 98° 49' 50.85''</v>
      </c>
      <c r="X125" s="117">
        <v>2049</v>
      </c>
      <c r="Y125" s="118">
        <v>0</v>
      </c>
      <c r="Z125" s="118">
        <v>0</v>
      </c>
      <c r="AA125" s="118">
        <v>1.5</v>
      </c>
      <c r="AB125" s="118">
        <v>0.71</v>
      </c>
      <c r="AC125" s="118">
        <v>0</v>
      </c>
      <c r="AD125" s="118">
        <v>0</v>
      </c>
      <c r="AE125" s="118">
        <f>SUM(tbSabana2016[[#This Row],[Arbolado Adulto (HA)]:[Suelo Orgánico (HA)]])</f>
        <v>2.21</v>
      </c>
      <c r="AF125" s="116">
        <f t="shared" si="81"/>
        <v>1915.5799999999997</v>
      </c>
      <c r="AG125" s="116">
        <f>tbSabana2016[[#This Row],[Acumulado (HA)]]/tbSabana2016[[#This Row],[Incendio en el AÑO]]</f>
        <v>15.831239669421485</v>
      </c>
      <c r="AH125" s="107" t="s">
        <v>147</v>
      </c>
      <c r="AI125" s="107" t="s">
        <v>165</v>
      </c>
      <c r="AJ125" s="107" t="s">
        <v>134</v>
      </c>
      <c r="AK125" s="107" t="s">
        <v>200</v>
      </c>
      <c r="AL125" s="107" t="s">
        <v>150</v>
      </c>
      <c r="AM125" s="107" t="s">
        <v>151</v>
      </c>
      <c r="AN125" s="119">
        <v>43575.700694444444</v>
      </c>
      <c r="AO125" s="119">
        <v>43575.701388888891</v>
      </c>
      <c r="AP125" s="119">
        <v>43575.75</v>
      </c>
      <c r="AQ125" s="119">
        <v>43575.819444444445</v>
      </c>
      <c r="AR125" s="119">
        <v>43575.826388888891</v>
      </c>
      <c r="AS125" s="119"/>
      <c r="AT125" s="119">
        <v>43575.916666666664</v>
      </c>
      <c r="AU125" s="119">
        <v>43575.958333333336</v>
      </c>
      <c r="AV125" s="119">
        <v>43576.020833333336</v>
      </c>
      <c r="AW125" s="120">
        <v>0.25763888888888892</v>
      </c>
      <c r="AX125" s="121">
        <v>6.9444444444444447E-4</v>
      </c>
      <c r="AY125" s="121">
        <v>0.11805555555555557</v>
      </c>
      <c r="AZ125" s="120">
        <f>SUM(tbSabana2016[[#This Row],[Duración]])</f>
        <v>0.25763888888888892</v>
      </c>
      <c r="BA125" s="107">
        <v>0.5</v>
      </c>
      <c r="BB125" s="107">
        <v>0</v>
      </c>
      <c r="BC125" s="107">
        <v>0</v>
      </c>
      <c r="BD125" s="107">
        <v>0</v>
      </c>
      <c r="BE125" s="107">
        <v>0.4</v>
      </c>
      <c r="BF125" s="107">
        <v>0</v>
      </c>
      <c r="BG125" s="107">
        <v>0</v>
      </c>
      <c r="BH125" s="107">
        <v>1</v>
      </c>
      <c r="BI125" s="107">
        <v>0</v>
      </c>
      <c r="BJ125" s="107" t="s">
        <v>179</v>
      </c>
      <c r="BK125" s="107">
        <v>1</v>
      </c>
      <c r="BL125" s="107">
        <v>0</v>
      </c>
      <c r="BM125" s="107">
        <v>0</v>
      </c>
      <c r="BN125" s="107">
        <v>1</v>
      </c>
      <c r="BO125" s="107">
        <v>1</v>
      </c>
      <c r="BP125" s="107">
        <v>0</v>
      </c>
      <c r="BQ125" s="107">
        <v>0</v>
      </c>
      <c r="BR125" s="107">
        <v>0</v>
      </c>
      <c r="BS125" s="107" t="s">
        <v>625</v>
      </c>
      <c r="BT125" s="107">
        <v>8</v>
      </c>
      <c r="BU125" s="107">
        <v>0</v>
      </c>
      <c r="BV125" s="107">
        <v>0</v>
      </c>
      <c r="BW125" s="107">
        <v>0</v>
      </c>
      <c r="BX125" s="107">
        <v>0</v>
      </c>
      <c r="BY125" s="107">
        <v>0</v>
      </c>
      <c r="BZ125" s="107">
        <v>0</v>
      </c>
      <c r="CA125" s="107">
        <v>0</v>
      </c>
      <c r="CB125" s="107">
        <v>0</v>
      </c>
      <c r="CC125" s="107">
        <v>0</v>
      </c>
      <c r="CD125" s="107">
        <v>0</v>
      </c>
      <c r="CE125" s="107">
        <v>0</v>
      </c>
      <c r="CF125" s="107">
        <v>0</v>
      </c>
      <c r="CG125" s="107">
        <v>1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11">
        <f t="shared" si="82"/>
        <v>9</v>
      </c>
      <c r="CO125" s="122">
        <f t="shared" si="62"/>
        <v>2511</v>
      </c>
      <c r="CP125" s="122">
        <f t="shared" si="83"/>
        <v>9</v>
      </c>
      <c r="CQ125" s="123">
        <f>SUM(tbSabana2016[[#This Row],[Voluntarios]])</f>
        <v>0</v>
      </c>
      <c r="CR125" s="124">
        <f>tbSabana2016[[#This Row],[CONAFOR (Oficiales)]]*383</f>
        <v>3064</v>
      </c>
      <c r="CS125" s="124">
        <f>(tbSabana2016[[#This Row],[Total (Oficiales)]]-tbSabana2016[[#This Row],[CONAFOR (Oficiales)]])*217</f>
        <v>217</v>
      </c>
      <c r="CT125" s="124">
        <f>SUM(tbSabana2016[[#This Row],[Costo CONAFOR]:[Costo Otros]])</f>
        <v>3281</v>
      </c>
      <c r="CU125" s="124">
        <v>866.23</v>
      </c>
      <c r="CV125" s="124">
        <f t="shared" si="84"/>
        <v>4147.2299999999996</v>
      </c>
      <c r="CW125" s="107" t="s">
        <v>154</v>
      </c>
      <c r="CX125" s="107" t="s">
        <v>154</v>
      </c>
      <c r="CY125" s="125" t="s">
        <v>154</v>
      </c>
      <c r="CZ125" s="107" t="s">
        <v>154</v>
      </c>
      <c r="DA125" s="107" t="s">
        <v>172</v>
      </c>
      <c r="DB125" s="107" t="s">
        <v>155</v>
      </c>
      <c r="DC125" s="107" t="s">
        <v>491</v>
      </c>
      <c r="DD125" s="107" t="s">
        <v>492</v>
      </c>
      <c r="DE125" s="107" t="s">
        <v>202</v>
      </c>
      <c r="DF125" s="107" t="s">
        <v>159</v>
      </c>
      <c r="DG125" s="107" t="s">
        <v>203</v>
      </c>
      <c r="DH125" s="107">
        <v>0</v>
      </c>
      <c r="DI125" s="107">
        <v>0</v>
      </c>
      <c r="DJ125" s="107">
        <v>0</v>
      </c>
      <c r="DK125" s="107">
        <v>0</v>
      </c>
      <c r="DL125" s="107">
        <v>0</v>
      </c>
      <c r="DM125" s="107">
        <v>0</v>
      </c>
      <c r="DN125" s="107">
        <f t="shared" si="85"/>
        <v>0</v>
      </c>
      <c r="DO125" s="126"/>
      <c r="DP125" s="107"/>
      <c r="DQ125" s="107"/>
      <c r="DR125" s="107"/>
      <c r="DS125" s="107"/>
      <c r="DT125" s="107"/>
      <c r="DU125" s="107"/>
      <c r="DV125" s="107"/>
    </row>
    <row r="126" spans="1:126" s="26" customFormat="1" x14ac:dyDescent="0.25">
      <c r="A126" s="2" t="s">
        <v>618</v>
      </c>
      <c r="B126" s="25">
        <v>122</v>
      </c>
      <c r="C126" s="35">
        <v>43576</v>
      </c>
      <c r="D126" s="35">
        <v>43576</v>
      </c>
      <c r="E126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6" s="2">
        <v>26</v>
      </c>
      <c r="G126" s="2">
        <v>1</v>
      </c>
      <c r="H126" s="47">
        <f>WEEKNUM(tbSabana2016[[#This Row],[Fecha de Inicio]],15)</f>
        <v>17</v>
      </c>
      <c r="I126" s="36" t="str">
        <f>TEXT(tbSabana2016[[#This Row],[Fecha de Inicio]],"dddd")</f>
        <v>domingo</v>
      </c>
      <c r="J126" s="36" t="str">
        <f>TEXT(tbSabana2016[[#This Row],[Fecha de Inicio]],"mmmm")</f>
        <v>abril</v>
      </c>
      <c r="K126" s="37" t="s">
        <v>143</v>
      </c>
      <c r="L126" s="23">
        <v>7</v>
      </c>
      <c r="M126" s="38" t="s">
        <v>405</v>
      </c>
      <c r="N126" s="38" t="s">
        <v>406</v>
      </c>
      <c r="O126" s="38" t="s">
        <v>634</v>
      </c>
      <c r="P126" s="88" t="s">
        <v>453</v>
      </c>
      <c r="Q126" s="47">
        <v>18</v>
      </c>
      <c r="R126" s="102">
        <v>59</v>
      </c>
      <c r="S126" s="105">
        <v>9.1999999999999993</v>
      </c>
      <c r="T126" s="102">
        <v>99</v>
      </c>
      <c r="U126" s="102">
        <v>12</v>
      </c>
      <c r="V126" s="105">
        <v>29.5</v>
      </c>
      <c r="W126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09.20'' W 99° 12' 29.50''</v>
      </c>
      <c r="X126" s="44">
        <v>1935</v>
      </c>
      <c r="Y126" s="19">
        <v>0</v>
      </c>
      <c r="Z126" s="19">
        <v>0</v>
      </c>
      <c r="AA126" s="19">
        <v>0</v>
      </c>
      <c r="AB126" s="19">
        <v>0.6</v>
      </c>
      <c r="AC126" s="19">
        <v>0</v>
      </c>
      <c r="AD126" s="19">
        <v>0</v>
      </c>
      <c r="AE126" s="19">
        <f>SUM(tbSabana2016[[#This Row],[Arbolado Adulto (HA)]:[Suelo Orgánico (HA)]])</f>
        <v>0.6</v>
      </c>
      <c r="AF126" s="9">
        <f t="shared" si="81"/>
        <v>1916.1799999999996</v>
      </c>
      <c r="AG126" s="9">
        <f>tbSabana2016[[#This Row],[Acumulado (HA)]]/tbSabana2016[[#This Row],[Incendio en el AÑO]]</f>
        <v>15.706393442622948</v>
      </c>
      <c r="AH126" s="2" t="s">
        <v>147</v>
      </c>
      <c r="AI126" s="2" t="s">
        <v>165</v>
      </c>
      <c r="AJ126" s="2" t="s">
        <v>134</v>
      </c>
      <c r="AK126" s="2" t="s">
        <v>183</v>
      </c>
      <c r="AL126" s="2" t="s">
        <v>150</v>
      </c>
      <c r="AM126" s="2" t="s">
        <v>151</v>
      </c>
      <c r="AN126" s="32">
        <v>43576.395833333336</v>
      </c>
      <c r="AO126" s="32">
        <v>43576.399305555555</v>
      </c>
      <c r="AP126" s="32">
        <v>43576.402777777781</v>
      </c>
      <c r="AQ126" s="32">
        <v>43576.416666666664</v>
      </c>
      <c r="AR126" s="32">
        <v>43576.423611111109</v>
      </c>
      <c r="AS126" s="32"/>
      <c r="AT126" s="32">
        <v>43576.458333333336</v>
      </c>
      <c r="AU126" s="32">
        <v>43576.46875</v>
      </c>
      <c r="AV126" s="32">
        <v>43576.482638888891</v>
      </c>
      <c r="AW126" s="40">
        <v>7.2916666666666671E-2</v>
      </c>
      <c r="AX126" s="39">
        <v>3.472222222222222E-3</v>
      </c>
      <c r="AY126" s="39">
        <v>1.7361111111111112E-2</v>
      </c>
      <c r="AZ126" s="40">
        <f>SUM(tbSabana2016[[#This Row],[Duración]])</f>
        <v>7.2916666666666671E-2</v>
      </c>
      <c r="BA126" s="2">
        <v>0</v>
      </c>
      <c r="BB126" s="2">
        <v>0.3</v>
      </c>
      <c r="BC126" s="2">
        <v>0</v>
      </c>
      <c r="BD126" s="2">
        <v>0</v>
      </c>
      <c r="BE126" s="2">
        <v>0.1</v>
      </c>
      <c r="BF126" s="2">
        <v>0</v>
      </c>
      <c r="BG126" s="2">
        <v>0</v>
      </c>
      <c r="BH126" s="2">
        <v>0</v>
      </c>
      <c r="BI126" s="2">
        <v>0</v>
      </c>
      <c r="BJ126" s="2" t="s">
        <v>206</v>
      </c>
      <c r="BK126" s="2">
        <v>0</v>
      </c>
      <c r="BL126" s="2">
        <v>0</v>
      </c>
      <c r="BM126" s="2">
        <v>1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/>
      <c r="BT126" s="2">
        <v>9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3">
        <f t="shared" si="82"/>
        <v>9</v>
      </c>
      <c r="CO126" s="10">
        <f t="shared" si="62"/>
        <v>2520</v>
      </c>
      <c r="CP126" s="10">
        <f t="shared" si="83"/>
        <v>9</v>
      </c>
      <c r="CQ126" s="24">
        <f>SUM(tbSabana2016[[#This Row],[Voluntarios]])</f>
        <v>0</v>
      </c>
      <c r="CR126" s="8">
        <f>tbSabana2016[[#This Row],[CONAFOR (Oficiales)]]*383</f>
        <v>3447</v>
      </c>
      <c r="CS126" s="8">
        <f>(tbSabana2016[[#This Row],[Total (Oficiales)]]-tbSabana2016[[#This Row],[CONAFOR (Oficiales)]])*217</f>
        <v>0</v>
      </c>
      <c r="CT126" s="8">
        <f>SUM(tbSabana2016[[#This Row],[Costo CONAFOR]:[Costo Otros]])</f>
        <v>3447</v>
      </c>
      <c r="CU126" s="8">
        <v>93.28</v>
      </c>
      <c r="CV126" s="8">
        <f t="shared" si="84"/>
        <v>3540.28</v>
      </c>
      <c r="CW126" s="2" t="s">
        <v>154</v>
      </c>
      <c r="CX126" s="2" t="s">
        <v>154</v>
      </c>
      <c r="CY126" s="69" t="s">
        <v>154</v>
      </c>
      <c r="CZ126" s="2" t="s">
        <v>154</v>
      </c>
      <c r="DA126" s="2" t="s">
        <v>172</v>
      </c>
      <c r="DB126" s="2" t="s">
        <v>155</v>
      </c>
      <c r="DC126" s="2" t="s">
        <v>468</v>
      </c>
      <c r="DD126" s="2" t="s">
        <v>311</v>
      </c>
      <c r="DE126" s="2" t="s">
        <v>158</v>
      </c>
      <c r="DF126" s="2" t="s">
        <v>159</v>
      </c>
      <c r="DG126" s="2" t="s">
        <v>160</v>
      </c>
      <c r="DH126" s="2">
        <v>0</v>
      </c>
      <c r="DI126" s="2">
        <v>0</v>
      </c>
      <c r="DJ126" s="2">
        <v>0</v>
      </c>
      <c r="DK126" s="2">
        <v>0.6</v>
      </c>
      <c r="DL126" s="2">
        <v>0</v>
      </c>
      <c r="DM126" s="2">
        <v>0</v>
      </c>
      <c r="DN126" s="2">
        <f t="shared" si="85"/>
        <v>0.6</v>
      </c>
      <c r="DO126" s="46"/>
      <c r="DP126" s="2"/>
      <c r="DQ126" s="2"/>
      <c r="DR126" s="2"/>
      <c r="DS126" s="2"/>
      <c r="DT126" s="2"/>
      <c r="DU126" s="2"/>
      <c r="DV126" s="2"/>
    </row>
    <row r="127" spans="1:126" s="26" customFormat="1" x14ac:dyDescent="0.25">
      <c r="A127" s="2" t="s">
        <v>619</v>
      </c>
      <c r="B127" s="25">
        <v>123</v>
      </c>
      <c r="C127" s="35">
        <v>43577</v>
      </c>
      <c r="D127" s="35">
        <v>43577</v>
      </c>
      <c r="E127" s="4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7" s="2">
        <v>27</v>
      </c>
      <c r="G127" s="2">
        <v>1</v>
      </c>
      <c r="H127" s="47">
        <f>WEEKNUM(tbSabana2016[[#This Row],[Fecha de Inicio]],15)</f>
        <v>17</v>
      </c>
      <c r="I127" s="36" t="str">
        <f>TEXT(tbSabana2016[[#This Row],[Fecha de Inicio]],"dddd")</f>
        <v>lunes</v>
      </c>
      <c r="J127" s="36" t="str">
        <f>TEXT(tbSabana2016[[#This Row],[Fecha de Inicio]],"mmmm")</f>
        <v>abril</v>
      </c>
      <c r="K127" s="37" t="s">
        <v>143</v>
      </c>
      <c r="L127" s="23">
        <v>7</v>
      </c>
      <c r="M127" s="38" t="s">
        <v>405</v>
      </c>
      <c r="N127" s="38" t="s">
        <v>406</v>
      </c>
      <c r="O127" s="38" t="s">
        <v>635</v>
      </c>
      <c r="P127" s="88" t="s">
        <v>174</v>
      </c>
      <c r="Q127" s="47">
        <v>18</v>
      </c>
      <c r="R127" s="102">
        <v>59</v>
      </c>
      <c r="S127" s="105">
        <v>14.83</v>
      </c>
      <c r="T127" s="102">
        <v>99</v>
      </c>
      <c r="U127" s="102">
        <v>12</v>
      </c>
      <c r="V127" s="105">
        <v>24.69</v>
      </c>
      <c r="W127" s="9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14.83'' W 99° 12' 24.69''</v>
      </c>
      <c r="X127" s="44">
        <v>1947</v>
      </c>
      <c r="Y127" s="19">
        <v>0</v>
      </c>
      <c r="Z127" s="19">
        <v>0</v>
      </c>
      <c r="AA127" s="19">
        <v>0</v>
      </c>
      <c r="AB127" s="19">
        <v>0.7</v>
      </c>
      <c r="AC127" s="19">
        <v>0</v>
      </c>
      <c r="AD127" s="19">
        <v>0</v>
      </c>
      <c r="AE127" s="19">
        <f>SUM(tbSabana2016[[#This Row],[Arbolado Adulto (HA)]:[Suelo Orgánico (HA)]])</f>
        <v>0.7</v>
      </c>
      <c r="AF127" s="9">
        <f t="shared" si="81"/>
        <v>1916.8799999999997</v>
      </c>
      <c r="AG127" s="9">
        <f>tbSabana2016[[#This Row],[Acumulado (HA)]]/tbSabana2016[[#This Row],[Incendio en el AÑO]]</f>
        <v>15.584390243902437</v>
      </c>
      <c r="AH127" s="2" t="s">
        <v>147</v>
      </c>
      <c r="AI127" s="2" t="s">
        <v>165</v>
      </c>
      <c r="AJ127" s="2" t="s">
        <v>134</v>
      </c>
      <c r="AK127" s="2" t="s">
        <v>200</v>
      </c>
      <c r="AL127" s="2" t="s">
        <v>150</v>
      </c>
      <c r="AM127" s="2" t="s">
        <v>151</v>
      </c>
      <c r="AN127" s="32">
        <v>43577.375</v>
      </c>
      <c r="AO127" s="32">
        <v>43577.381944444445</v>
      </c>
      <c r="AP127" s="32">
        <v>43577.385416666664</v>
      </c>
      <c r="AQ127" s="32">
        <v>43577.395833333336</v>
      </c>
      <c r="AR127" s="32">
        <v>43577.399305555555</v>
      </c>
      <c r="AS127" s="32"/>
      <c r="AT127" s="32">
        <v>43577.4375</v>
      </c>
      <c r="AU127" s="32">
        <v>43577.447916666664</v>
      </c>
      <c r="AV127" s="32">
        <v>43577.472222222219</v>
      </c>
      <c r="AW127" s="40">
        <v>7.2916666666666671E-2</v>
      </c>
      <c r="AX127" s="39">
        <v>6.9444444444444441E-3</v>
      </c>
      <c r="AY127" s="39">
        <v>1.3888888888888888E-2</v>
      </c>
      <c r="AZ127" s="40">
        <f>SUM(tbSabana2016[[#This Row],[Duración]])</f>
        <v>7.2916666666666671E-2</v>
      </c>
      <c r="BA127" s="2">
        <v>0.08</v>
      </c>
      <c r="BB127" s="2">
        <v>0.4</v>
      </c>
      <c r="BC127" s="2">
        <v>0</v>
      </c>
      <c r="BD127" s="2">
        <v>0</v>
      </c>
      <c r="BE127" s="2">
        <v>0</v>
      </c>
      <c r="BF127" s="2">
        <v>0</v>
      </c>
      <c r="BG127" s="2">
        <v>0.1</v>
      </c>
      <c r="BH127" s="2">
        <v>0.3</v>
      </c>
      <c r="BI127" s="2">
        <v>0</v>
      </c>
      <c r="BJ127" s="2" t="s">
        <v>176</v>
      </c>
      <c r="BK127" s="2">
        <v>1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 t="s">
        <v>46</v>
      </c>
      <c r="BT127" s="2">
        <v>8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8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3">
        <f t="shared" si="82"/>
        <v>16</v>
      </c>
      <c r="CO127" s="10">
        <f t="shared" si="62"/>
        <v>2536</v>
      </c>
      <c r="CP127" s="10">
        <f t="shared" si="83"/>
        <v>8</v>
      </c>
      <c r="CQ127" s="24">
        <f>SUM(tbSabana2016[[#This Row],[Voluntarios]])</f>
        <v>8</v>
      </c>
      <c r="CR127" s="8">
        <f>tbSabana2016[[#This Row],[CONAFOR (Oficiales)]]*383</f>
        <v>3064</v>
      </c>
      <c r="CS127" s="8">
        <f>(tbSabana2016[[#This Row],[Total (Oficiales)]]-tbSabana2016[[#This Row],[CONAFOR (Oficiales)]])*217</f>
        <v>1736</v>
      </c>
      <c r="CT127" s="8">
        <f>SUM(tbSabana2016[[#This Row],[Costo CONAFOR]:[Costo Otros]])</f>
        <v>4800</v>
      </c>
      <c r="CU127" s="8">
        <v>93.28</v>
      </c>
      <c r="CV127" s="8">
        <f t="shared" si="84"/>
        <v>4893.28</v>
      </c>
      <c r="CW127" s="2" t="s">
        <v>154</v>
      </c>
      <c r="CX127" s="2" t="s">
        <v>154</v>
      </c>
      <c r="CY127" s="69" t="s">
        <v>154</v>
      </c>
      <c r="CZ127" s="2" t="s">
        <v>154</v>
      </c>
      <c r="DA127" s="2" t="s">
        <v>172</v>
      </c>
      <c r="DB127" s="2" t="s">
        <v>155</v>
      </c>
      <c r="DC127" s="2" t="s">
        <v>468</v>
      </c>
      <c r="DD127" s="2" t="s">
        <v>311</v>
      </c>
      <c r="DE127" s="2" t="s">
        <v>158</v>
      </c>
      <c r="DF127" s="2" t="s">
        <v>159</v>
      </c>
      <c r="DG127" s="2" t="s">
        <v>160</v>
      </c>
      <c r="DH127" s="2">
        <v>0</v>
      </c>
      <c r="DI127" s="2">
        <v>0</v>
      </c>
      <c r="DJ127" s="2">
        <v>0</v>
      </c>
      <c r="DK127" s="2">
        <v>0.7</v>
      </c>
      <c r="DL127" s="2">
        <v>0</v>
      </c>
      <c r="DM127" s="2">
        <v>0</v>
      </c>
      <c r="DN127" s="2">
        <f t="shared" si="85"/>
        <v>0.7</v>
      </c>
      <c r="DO127" s="46"/>
      <c r="DP127" s="2"/>
      <c r="DQ127" s="2"/>
      <c r="DR127" s="2"/>
      <c r="DS127" s="2"/>
      <c r="DT127" s="2"/>
      <c r="DU127" s="2"/>
      <c r="DV127" s="2"/>
    </row>
    <row r="128" spans="1:126" s="1" customFormat="1" x14ac:dyDescent="0.25">
      <c r="A128" s="2" t="s">
        <v>620</v>
      </c>
      <c r="B128" s="2">
        <v>124</v>
      </c>
      <c r="C128" s="35">
        <v>43577</v>
      </c>
      <c r="D128" s="35">
        <v>43577</v>
      </c>
      <c r="E128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8" s="2">
        <v>28</v>
      </c>
      <c r="G128" s="2">
        <v>1</v>
      </c>
      <c r="H128" s="47">
        <f>WEEKNUM(tbSabana2016[[#This Row],[Fecha de Inicio]],15)</f>
        <v>17</v>
      </c>
      <c r="I128" s="2" t="str">
        <f>TEXT(tbSabana2016[[#This Row],[Fecha de Inicio]],"dddd")</f>
        <v>lunes</v>
      </c>
      <c r="J128" s="2" t="str">
        <f>TEXT(tbSabana2016[[#This Row],[Fecha de Inicio]],"mmmm")</f>
        <v>abril</v>
      </c>
      <c r="K128" s="37" t="s">
        <v>143</v>
      </c>
      <c r="L128" s="23">
        <v>9</v>
      </c>
      <c r="M128" s="96" t="s">
        <v>144</v>
      </c>
      <c r="N128" s="96" t="s">
        <v>144</v>
      </c>
      <c r="O128" s="96" t="s">
        <v>621</v>
      </c>
      <c r="P128" s="2"/>
      <c r="Q128" s="2">
        <v>19</v>
      </c>
      <c r="R128" s="104">
        <v>0</v>
      </c>
      <c r="S128" s="104">
        <v>14.2</v>
      </c>
      <c r="T128" s="104">
        <v>99</v>
      </c>
      <c r="U128" s="104">
        <v>15</v>
      </c>
      <c r="V128" s="104">
        <v>42</v>
      </c>
      <c r="W128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14.20'' W 99° 15' 42.00''</v>
      </c>
      <c r="X128" s="2">
        <v>2213</v>
      </c>
      <c r="Y128" s="19">
        <v>0</v>
      </c>
      <c r="Z128" s="19">
        <v>0</v>
      </c>
      <c r="AA128" s="19">
        <v>0.5</v>
      </c>
      <c r="AB128" s="2">
        <v>0.3</v>
      </c>
      <c r="AC128" s="19">
        <v>0</v>
      </c>
      <c r="AD128" s="19">
        <v>0</v>
      </c>
      <c r="AE128" s="2">
        <f>SUM(tbSabana2016[[#This Row],[Arbolado Adulto (HA)]:[Suelo Orgánico (HA)]])</f>
        <v>0.8</v>
      </c>
      <c r="AF128" s="9">
        <f t="shared" si="81"/>
        <v>1917.6799999999996</v>
      </c>
      <c r="AG128" s="9">
        <f>tbSabana2016[[#This Row],[Acumulado (HA)]]/tbSabana2016[[#This Row],[Incendio en el AÑO]]</f>
        <v>15.465161290322577</v>
      </c>
      <c r="AH128" s="2" t="s">
        <v>147</v>
      </c>
      <c r="AI128" s="2" t="s">
        <v>165</v>
      </c>
      <c r="AJ128" s="2" t="s">
        <v>139</v>
      </c>
      <c r="AK128" s="2" t="s">
        <v>166</v>
      </c>
      <c r="AL128" s="2" t="s">
        <v>150</v>
      </c>
      <c r="AM128" s="2" t="s">
        <v>151</v>
      </c>
      <c r="AN128" s="32">
        <v>43577.413194444445</v>
      </c>
      <c r="AO128" s="32">
        <v>43577.416666666664</v>
      </c>
      <c r="AP128" s="32">
        <v>43577.42083333333</v>
      </c>
      <c r="AQ128" s="32">
        <v>43577.45208333333</v>
      </c>
      <c r="AR128" s="32">
        <v>43577.458333333336</v>
      </c>
      <c r="AS128" s="32"/>
      <c r="AT128" s="32">
        <v>43577.631944444445</v>
      </c>
      <c r="AU128" s="32">
        <v>43577.654861111114</v>
      </c>
      <c r="AV128" s="32">
        <v>43577.6875</v>
      </c>
      <c r="AW128" s="39">
        <v>0.24166666666666667</v>
      </c>
      <c r="AX128" s="39">
        <v>3.472222222222222E-3</v>
      </c>
      <c r="AY128" s="39">
        <v>3.5416666666666666E-2</v>
      </c>
      <c r="AZ128" s="39">
        <f>SUM(tbSabana2016[[#This Row],[Duración]])</f>
        <v>0.24166666666666667</v>
      </c>
      <c r="BA128" s="2">
        <v>0.3</v>
      </c>
      <c r="BB128" s="2">
        <v>0.3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 t="s">
        <v>622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 t="s">
        <v>623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10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2">
        <v>0</v>
      </c>
      <c r="CL128" s="2">
        <v>0</v>
      </c>
      <c r="CM128" s="1">
        <v>0</v>
      </c>
      <c r="CN128" s="93">
        <f t="shared" ref="CN128:CN133" si="86">SUM(BT128:CM128)</f>
        <v>10</v>
      </c>
      <c r="CO128" s="10">
        <f t="shared" si="62"/>
        <v>2546</v>
      </c>
      <c r="CP128" s="1">
        <f t="shared" si="83"/>
        <v>10</v>
      </c>
      <c r="CQ128" s="1">
        <f>SUM(tbSabana2016[[#This Row],[Voluntarios]])</f>
        <v>0</v>
      </c>
      <c r="CR128" s="1">
        <f>tbSabana2016[[#This Row],[CONAFOR (Oficiales)]]*383</f>
        <v>0</v>
      </c>
      <c r="CS128" s="8">
        <f>(tbSabana2016[[#This Row],[Total (Oficiales)]]-tbSabana2016[[#This Row],[CONAFOR (Oficiales)]])*217</f>
        <v>2170</v>
      </c>
      <c r="CT128" s="94">
        <f>SUM(tbSabana2016[[#This Row],[Costo CONAFOR]:[Costo Otros]])</f>
        <v>2170</v>
      </c>
      <c r="CU128" s="8">
        <v>325.17</v>
      </c>
      <c r="CV128" s="8">
        <f t="shared" si="84"/>
        <v>2495.17</v>
      </c>
      <c r="CW128" s="1" t="s">
        <v>154</v>
      </c>
      <c r="CX128" s="1" t="s">
        <v>154</v>
      </c>
      <c r="CY128" s="1" t="s">
        <v>154</v>
      </c>
      <c r="CZ128" s="2" t="s">
        <v>154</v>
      </c>
      <c r="DA128" s="1" t="s">
        <v>172</v>
      </c>
      <c r="DB128" s="1" t="s">
        <v>155</v>
      </c>
      <c r="DC128" s="87" t="s">
        <v>156</v>
      </c>
      <c r="DD128" s="1" t="s">
        <v>157</v>
      </c>
      <c r="DE128" s="1" t="s">
        <v>158</v>
      </c>
      <c r="DF128" s="2" t="s">
        <v>159</v>
      </c>
      <c r="DG128" s="1" t="s">
        <v>160</v>
      </c>
      <c r="DH128" s="2">
        <v>0</v>
      </c>
      <c r="DI128" s="2">
        <v>0</v>
      </c>
      <c r="DJ128" s="2">
        <v>0.5</v>
      </c>
      <c r="DK128" s="2">
        <v>0.3</v>
      </c>
      <c r="DL128" s="2">
        <v>0</v>
      </c>
      <c r="DM128" s="2">
        <v>0</v>
      </c>
      <c r="DN128" s="93">
        <f t="shared" si="85"/>
        <v>0.8</v>
      </c>
      <c r="DO128" s="95"/>
    </row>
    <row r="129" spans="1:119" s="1" customFormat="1" x14ac:dyDescent="0.25">
      <c r="A129" s="2" t="s">
        <v>627</v>
      </c>
      <c r="B129" s="2">
        <v>125</v>
      </c>
      <c r="C129" s="35">
        <v>43579</v>
      </c>
      <c r="D129" s="35">
        <v>43579</v>
      </c>
      <c r="E129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29" s="2">
        <v>29</v>
      </c>
      <c r="G129" s="2">
        <v>1</v>
      </c>
      <c r="H129" s="47">
        <f>WEEKNUM(tbSabana2016[[#This Row],[Fecha de Inicio]],15)</f>
        <v>17</v>
      </c>
      <c r="I129" s="2" t="str">
        <f>TEXT(tbSabana2016[[#This Row],[Fecha de Inicio]],"dddd")</f>
        <v>miércoles</v>
      </c>
      <c r="J129" s="2" t="str">
        <f>TEXT(tbSabana2016[[#This Row],[Fecha de Inicio]],"mmmm")</f>
        <v>abril</v>
      </c>
      <c r="K129" s="37" t="s">
        <v>143</v>
      </c>
      <c r="L129" s="23">
        <v>7</v>
      </c>
      <c r="M129" s="96" t="s">
        <v>405</v>
      </c>
      <c r="N129" s="96" t="s">
        <v>406</v>
      </c>
      <c r="O129" s="96" t="s">
        <v>628</v>
      </c>
      <c r="P129" s="2"/>
      <c r="Q129" s="2">
        <v>18</v>
      </c>
      <c r="R129" s="104">
        <v>59</v>
      </c>
      <c r="S129" s="104">
        <v>13</v>
      </c>
      <c r="T129" s="104">
        <v>99</v>
      </c>
      <c r="U129" s="104">
        <v>12</v>
      </c>
      <c r="V129" s="104">
        <v>6.9</v>
      </c>
      <c r="W129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13.00'' W 99° 12' 06.90''</v>
      </c>
      <c r="X129" s="2">
        <v>1913</v>
      </c>
      <c r="Y129" s="19">
        <v>0</v>
      </c>
      <c r="Z129" s="19">
        <v>0</v>
      </c>
      <c r="AA129" s="19">
        <v>0.4</v>
      </c>
      <c r="AB129" s="2">
        <v>0.4</v>
      </c>
      <c r="AC129" s="19">
        <v>0</v>
      </c>
      <c r="AD129" s="19">
        <v>0</v>
      </c>
      <c r="AE129" s="2">
        <f>SUM(tbSabana2016[[#This Row],[Arbolado Adulto (HA)]:[Suelo Orgánico (HA)]])</f>
        <v>0.8</v>
      </c>
      <c r="AF129" s="9">
        <f>SUM(AF128,AE129)</f>
        <v>1918.4799999999996</v>
      </c>
      <c r="AG129" s="9">
        <f>tbSabana2016[[#This Row],[Acumulado (HA)]]/tbSabana2016[[#This Row],[Incendio en el AÑO]]</f>
        <v>15.347839999999996</v>
      </c>
      <c r="AH129" s="2" t="s">
        <v>147</v>
      </c>
      <c r="AI129" s="2" t="s">
        <v>165</v>
      </c>
      <c r="AJ129" s="2" t="s">
        <v>139</v>
      </c>
      <c r="AK129" s="2" t="s">
        <v>166</v>
      </c>
      <c r="AL129" s="2" t="s">
        <v>150</v>
      </c>
      <c r="AM129" s="2" t="s">
        <v>151</v>
      </c>
      <c r="AN129" s="32">
        <v>43579.538194444445</v>
      </c>
      <c r="AO129" s="32">
        <v>43579.541666666664</v>
      </c>
      <c r="AP129" s="32">
        <v>43579.545138888891</v>
      </c>
      <c r="AQ129" s="32">
        <v>43579.569444444445</v>
      </c>
      <c r="AR129" s="32">
        <v>43579.576388888891</v>
      </c>
      <c r="AS129" s="32"/>
      <c r="AT129" s="32">
        <v>43579.625</v>
      </c>
      <c r="AU129" s="32">
        <v>43579.652777777781</v>
      </c>
      <c r="AV129" s="32">
        <v>43579.722222222219</v>
      </c>
      <c r="AW129" s="39">
        <v>0.11458333333333333</v>
      </c>
      <c r="AX129" s="39">
        <v>3.472222222222222E-3</v>
      </c>
      <c r="AY129" s="39">
        <v>2.7777777777777776E-2</v>
      </c>
      <c r="AZ129" s="39">
        <f>SUM(tbSabana2016[[#This Row],[Duración]])</f>
        <v>0.11458333333333333</v>
      </c>
      <c r="BA129" s="2">
        <v>0.1</v>
      </c>
      <c r="BB129" s="2">
        <v>0.6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 t="s">
        <v>176</v>
      </c>
      <c r="BK129" s="2">
        <v>1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 t="s">
        <v>46</v>
      </c>
      <c r="BT129" s="2">
        <v>9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1">
        <v>0</v>
      </c>
      <c r="CF129" s="1">
        <v>0</v>
      </c>
      <c r="CG129" s="1">
        <v>0</v>
      </c>
      <c r="CH129" s="1">
        <v>3</v>
      </c>
      <c r="CI129" s="1">
        <v>0</v>
      </c>
      <c r="CJ129" s="1">
        <v>0</v>
      </c>
      <c r="CK129" s="2">
        <v>0</v>
      </c>
      <c r="CL129" s="2">
        <v>0</v>
      </c>
      <c r="CM129" s="1">
        <v>0</v>
      </c>
      <c r="CN129" s="93">
        <f t="shared" si="86"/>
        <v>12</v>
      </c>
      <c r="CO129" s="10">
        <f t="shared" si="62"/>
        <v>2558</v>
      </c>
      <c r="CP129" s="1">
        <f t="shared" ref="CP129:CP138" si="87">SUM(BT129:CG129,CI129:CM129)</f>
        <v>9</v>
      </c>
      <c r="CQ129" s="1">
        <f>SUM(tbSabana2016[[#This Row],[Voluntarios]])</f>
        <v>3</v>
      </c>
      <c r="CR129" s="1">
        <f>tbSabana2016[[#This Row],[CONAFOR (Oficiales)]]*383</f>
        <v>3447</v>
      </c>
      <c r="CS129" s="8">
        <f>(tbSabana2016[[#This Row],[Total (Oficiales)]]-tbSabana2016[[#This Row],[CONAFOR (Oficiales)]])*217</f>
        <v>651</v>
      </c>
      <c r="CT129" s="94">
        <f>SUM(tbSabana2016[[#This Row],[Costo CONAFOR]:[Costo Otros]])</f>
        <v>4098</v>
      </c>
      <c r="CU129" s="8">
        <v>133</v>
      </c>
      <c r="CV129" s="8">
        <f t="shared" ref="CV129:CV138" si="88">SUM(CT129:CU129)</f>
        <v>4231</v>
      </c>
      <c r="CW129" s="1" t="s">
        <v>154</v>
      </c>
      <c r="CX129" s="1" t="s">
        <v>154</v>
      </c>
      <c r="CY129" s="1" t="s">
        <v>154</v>
      </c>
      <c r="CZ129" s="2" t="s">
        <v>154</v>
      </c>
      <c r="DA129" s="1" t="s">
        <v>172</v>
      </c>
      <c r="DB129" s="1" t="s">
        <v>155</v>
      </c>
      <c r="DC129" s="2" t="s">
        <v>468</v>
      </c>
      <c r="DD129" s="1" t="s">
        <v>311</v>
      </c>
      <c r="DE129" s="1" t="s">
        <v>158</v>
      </c>
      <c r="DF129" s="2" t="s">
        <v>159</v>
      </c>
      <c r="DG129" s="1" t="s">
        <v>160</v>
      </c>
      <c r="DH129" s="2">
        <v>0</v>
      </c>
      <c r="DI129" s="2">
        <v>0</v>
      </c>
      <c r="DJ129" s="2">
        <v>0.4</v>
      </c>
      <c r="DK129" s="2">
        <v>0.4</v>
      </c>
      <c r="DL129" s="2">
        <v>0</v>
      </c>
      <c r="DM129" s="2">
        <v>0</v>
      </c>
      <c r="DN129" s="93">
        <f t="shared" ref="DN129:DN138" si="89">SUM(DH129:DM129)</f>
        <v>0.8</v>
      </c>
      <c r="DO129" s="95"/>
    </row>
    <row r="130" spans="1:119" s="1" customFormat="1" x14ac:dyDescent="0.25">
      <c r="A130" s="2" t="s">
        <v>629</v>
      </c>
      <c r="B130" s="2">
        <v>126</v>
      </c>
      <c r="C130" s="35">
        <v>43580</v>
      </c>
      <c r="D130" s="35">
        <v>43580</v>
      </c>
      <c r="E130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30" s="2">
        <v>30</v>
      </c>
      <c r="G130" s="2">
        <v>1</v>
      </c>
      <c r="H130" s="47">
        <f>WEEKNUM(tbSabana2016[[#This Row],[Fecha de Inicio]],15)</f>
        <v>17</v>
      </c>
      <c r="I130" s="2" t="str">
        <f>TEXT(tbSabana2016[[#This Row],[Fecha de Inicio]],"dddd")</f>
        <v>jueves</v>
      </c>
      <c r="J130" s="2" t="str">
        <f>TEXT(tbSabana2016[[#This Row],[Fecha de Inicio]],"mmmm")</f>
        <v>abril</v>
      </c>
      <c r="K130" s="37" t="s">
        <v>143</v>
      </c>
      <c r="L130" s="23">
        <v>9</v>
      </c>
      <c r="M130" s="96" t="s">
        <v>144</v>
      </c>
      <c r="N130" s="96" t="s">
        <v>144</v>
      </c>
      <c r="O130" s="96" t="s">
        <v>630</v>
      </c>
      <c r="P130" s="2"/>
      <c r="Q130" s="2">
        <v>19</v>
      </c>
      <c r="R130" s="104">
        <v>0</v>
      </c>
      <c r="S130" s="104">
        <v>29</v>
      </c>
      <c r="T130" s="104">
        <v>99</v>
      </c>
      <c r="U130" s="104">
        <v>13</v>
      </c>
      <c r="V130" s="104">
        <v>18.899999999999999</v>
      </c>
      <c r="W130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29.00'' W 99° 13' 18.90''</v>
      </c>
      <c r="X130" s="2">
        <v>2321</v>
      </c>
      <c r="Y130" s="19">
        <v>0</v>
      </c>
      <c r="Z130" s="19">
        <v>0</v>
      </c>
      <c r="AA130" s="19">
        <v>0.5</v>
      </c>
      <c r="AB130" s="2">
        <v>0.4</v>
      </c>
      <c r="AC130" s="19">
        <v>0</v>
      </c>
      <c r="AD130" s="19">
        <v>0</v>
      </c>
      <c r="AE130" s="2">
        <f>SUM(tbSabana2016[[#This Row],[Arbolado Adulto (HA)]:[Suelo Orgánico (HA)]])</f>
        <v>0.9</v>
      </c>
      <c r="AF130" s="9">
        <f>SUM(AF129,AE130)</f>
        <v>1919.3799999999997</v>
      </c>
      <c r="AG130" s="9">
        <f>tbSabana2016[[#This Row],[Acumulado (HA)]]/tbSabana2016[[#This Row],[Incendio en el AÑO]]</f>
        <v>15.2331746031746</v>
      </c>
      <c r="AH130" s="2" t="s">
        <v>147</v>
      </c>
      <c r="AI130" s="2" t="s">
        <v>165</v>
      </c>
      <c r="AJ130" s="2" t="s">
        <v>134</v>
      </c>
      <c r="AK130" s="2" t="s">
        <v>183</v>
      </c>
      <c r="AL130" s="2" t="s">
        <v>150</v>
      </c>
      <c r="AM130" s="2" t="s">
        <v>151</v>
      </c>
      <c r="AN130" s="32">
        <v>43580.534722222219</v>
      </c>
      <c r="AO130" s="32">
        <v>43580.538194444445</v>
      </c>
      <c r="AP130" s="32">
        <v>43580.541666666664</v>
      </c>
      <c r="AQ130" s="32">
        <v>43580.576388888891</v>
      </c>
      <c r="AR130" s="32">
        <v>43580.579861111109</v>
      </c>
      <c r="AS130" s="32"/>
      <c r="AT130" s="32">
        <v>43580.625</v>
      </c>
      <c r="AU130" s="32">
        <v>43580.666666666664</v>
      </c>
      <c r="AV130" s="32">
        <v>43580.708333333336</v>
      </c>
      <c r="AW130" s="39">
        <v>0.13194444444444445</v>
      </c>
      <c r="AX130" s="39">
        <v>3.472222222222222E-3</v>
      </c>
      <c r="AY130" s="39">
        <v>3.8194444444444441E-2</v>
      </c>
      <c r="AZ130" s="39">
        <f>SUM(tbSabana2016[[#This Row],[Duración]])</f>
        <v>0.13194444444444445</v>
      </c>
      <c r="BA130" s="2">
        <v>0.2</v>
      </c>
      <c r="BB130" s="2">
        <v>0.3</v>
      </c>
      <c r="BC130" s="2">
        <v>0</v>
      </c>
      <c r="BD130" s="2">
        <v>0</v>
      </c>
      <c r="BE130" s="2">
        <v>0</v>
      </c>
      <c r="BF130" s="2">
        <v>0</v>
      </c>
      <c r="BG130" s="2">
        <v>0.1</v>
      </c>
      <c r="BH130" s="2">
        <v>0.7</v>
      </c>
      <c r="BI130" s="2">
        <v>0</v>
      </c>
      <c r="BJ130" s="2" t="s">
        <v>181</v>
      </c>
      <c r="BK130" s="2">
        <v>0</v>
      </c>
      <c r="BL130" s="2">
        <v>1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/>
      <c r="BT130" s="2">
        <v>9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0</v>
      </c>
      <c r="CJ130" s="1">
        <v>0</v>
      </c>
      <c r="CK130" s="2">
        <v>0</v>
      </c>
      <c r="CL130" s="2">
        <v>0</v>
      </c>
      <c r="CM130" s="1">
        <v>0</v>
      </c>
      <c r="CN130" s="93">
        <f t="shared" si="86"/>
        <v>9</v>
      </c>
      <c r="CO130" s="10">
        <f t="shared" si="62"/>
        <v>2567</v>
      </c>
      <c r="CP130" s="1">
        <f t="shared" si="87"/>
        <v>9</v>
      </c>
      <c r="CQ130" s="1">
        <f>SUM(tbSabana2016[[#This Row],[Voluntarios]])</f>
        <v>0</v>
      </c>
      <c r="CR130" s="1">
        <f>tbSabana2016[[#This Row],[CONAFOR (Oficiales)]]*383</f>
        <v>3447</v>
      </c>
      <c r="CS130" s="8">
        <f>(tbSabana2016[[#This Row],[Total (Oficiales)]]-tbSabana2016[[#This Row],[CONAFOR (Oficiales)]])*217</f>
        <v>0</v>
      </c>
      <c r="CT130" s="94">
        <f>SUM(tbSabana2016[[#This Row],[Costo CONAFOR]:[Costo Otros]])</f>
        <v>3447</v>
      </c>
      <c r="CU130" s="8">
        <v>153.25</v>
      </c>
      <c r="CV130" s="8">
        <f t="shared" si="88"/>
        <v>3600.25</v>
      </c>
      <c r="CW130" s="1" t="s">
        <v>154</v>
      </c>
      <c r="CX130" s="1" t="s">
        <v>154</v>
      </c>
      <c r="CY130" s="1" t="s">
        <v>154</v>
      </c>
      <c r="CZ130" s="2" t="s">
        <v>154</v>
      </c>
      <c r="DA130" s="1" t="s">
        <v>172</v>
      </c>
      <c r="DB130" s="1" t="s">
        <v>155</v>
      </c>
      <c r="DC130" s="87" t="s">
        <v>156</v>
      </c>
      <c r="DD130" s="1" t="s">
        <v>157</v>
      </c>
      <c r="DE130" s="1" t="s">
        <v>158</v>
      </c>
      <c r="DF130" s="2" t="s">
        <v>159</v>
      </c>
      <c r="DG130" s="1" t="s">
        <v>160</v>
      </c>
      <c r="DH130" s="2">
        <v>0</v>
      </c>
      <c r="DI130" s="2">
        <v>0</v>
      </c>
      <c r="DJ130" s="2">
        <v>0.5</v>
      </c>
      <c r="DK130" s="2">
        <v>0.4</v>
      </c>
      <c r="DL130" s="2">
        <v>0</v>
      </c>
      <c r="DM130" s="2">
        <v>0</v>
      </c>
      <c r="DN130" s="93">
        <f t="shared" si="89"/>
        <v>0.9</v>
      </c>
      <c r="DO130" s="95"/>
    </row>
    <row r="131" spans="1:119" s="1" customFormat="1" x14ac:dyDescent="0.25">
      <c r="A131" s="2" t="s">
        <v>636</v>
      </c>
      <c r="B131" s="2">
        <v>127</v>
      </c>
      <c r="C131" s="35">
        <v>43581</v>
      </c>
      <c r="D131" s="35">
        <v>43581</v>
      </c>
      <c r="E131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31" s="2">
        <v>31</v>
      </c>
      <c r="G131" s="2">
        <v>1</v>
      </c>
      <c r="H131" s="47">
        <f>WEEKNUM(tbSabana2016[[#This Row],[Fecha de Inicio]],15)</f>
        <v>18</v>
      </c>
      <c r="I131" s="2" t="str">
        <f>TEXT(tbSabana2016[[#This Row],[Fecha de Inicio]],"dddd")</f>
        <v>viernes</v>
      </c>
      <c r="J131" s="2" t="str">
        <f>TEXT(tbSabana2016[[#This Row],[Fecha de Inicio]],"mmmm")</f>
        <v>abril</v>
      </c>
      <c r="K131" s="37" t="s">
        <v>143</v>
      </c>
      <c r="L131" s="23">
        <v>20</v>
      </c>
      <c r="M131" s="38" t="s">
        <v>162</v>
      </c>
      <c r="N131" s="96" t="s">
        <v>163</v>
      </c>
      <c r="O131" s="96" t="s">
        <v>639</v>
      </c>
      <c r="P131" s="2"/>
      <c r="Q131" s="2">
        <v>18</v>
      </c>
      <c r="R131" s="104">
        <v>58</v>
      </c>
      <c r="S131" s="104">
        <v>50.41</v>
      </c>
      <c r="T131" s="104">
        <v>99</v>
      </c>
      <c r="U131" s="104">
        <v>10</v>
      </c>
      <c r="V131" s="104">
        <v>5.66</v>
      </c>
      <c r="W131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50.41'' W 99° 10' 05.66''</v>
      </c>
      <c r="X131" s="2">
        <v>1723</v>
      </c>
      <c r="Y131" s="19">
        <v>0</v>
      </c>
      <c r="Z131" s="19">
        <v>0</v>
      </c>
      <c r="AA131" s="19">
        <v>1.53</v>
      </c>
      <c r="AB131" s="2">
        <v>3</v>
      </c>
      <c r="AC131" s="19">
        <v>0</v>
      </c>
      <c r="AD131" s="19">
        <v>0</v>
      </c>
      <c r="AE131" s="2">
        <f>SUM(tbSabana2016[[#This Row],[Arbolado Adulto (HA)]:[Suelo Orgánico (HA)]])</f>
        <v>4.53</v>
      </c>
      <c r="AF131" s="9">
        <f>SUM(AF130,AE131)</f>
        <v>1923.9099999999996</v>
      </c>
      <c r="AG131" s="9">
        <f>tbSabana2016[[#This Row],[Acumulado (HA)]]/tbSabana2016[[#This Row],[Incendio en el AÑO]]</f>
        <v>15.148897637795272</v>
      </c>
      <c r="AH131" s="2" t="s">
        <v>147</v>
      </c>
      <c r="AI131" s="2" t="s">
        <v>165</v>
      </c>
      <c r="AJ131" s="2" t="s">
        <v>134</v>
      </c>
      <c r="AK131" s="2" t="s">
        <v>200</v>
      </c>
      <c r="AL131" s="2" t="s">
        <v>150</v>
      </c>
      <c r="AM131" s="2" t="s">
        <v>151</v>
      </c>
      <c r="AN131" s="32">
        <v>43581.604166666664</v>
      </c>
      <c r="AO131" s="32">
        <v>43581.607638888891</v>
      </c>
      <c r="AP131" s="32">
        <v>43581.611111111109</v>
      </c>
      <c r="AQ131" s="32">
        <v>43581.625</v>
      </c>
      <c r="AR131" s="32">
        <v>43581.628472222219</v>
      </c>
      <c r="AS131" s="32">
        <v>43581.694444444445</v>
      </c>
      <c r="AT131" s="32">
        <v>43581.791666666664</v>
      </c>
      <c r="AU131" s="32">
        <v>43581.833333333336</v>
      </c>
      <c r="AV131" s="32">
        <v>43581.895833333336</v>
      </c>
      <c r="AW131" s="39">
        <v>0.22916666666666666</v>
      </c>
      <c r="AX131" s="39">
        <v>3.472222222222222E-3</v>
      </c>
      <c r="AY131" s="39">
        <v>1.7361111111111112E-2</v>
      </c>
      <c r="AZ131" s="39">
        <f>SUM(tbSabana2016[[#This Row],[Duración]])</f>
        <v>0.22916666666666666</v>
      </c>
      <c r="BA131" s="2">
        <v>0.8</v>
      </c>
      <c r="BB131" s="2">
        <v>0.6</v>
      </c>
      <c r="BC131" s="2">
        <v>0</v>
      </c>
      <c r="BD131" s="2">
        <v>0</v>
      </c>
      <c r="BE131" s="2">
        <v>0.3</v>
      </c>
      <c r="BF131" s="2">
        <v>0</v>
      </c>
      <c r="BG131" s="2">
        <v>0</v>
      </c>
      <c r="BH131" s="2">
        <v>1</v>
      </c>
      <c r="BI131" s="2">
        <v>0</v>
      </c>
      <c r="BJ131" s="2" t="s">
        <v>640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 t="s">
        <v>641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10</v>
      </c>
      <c r="BZ131" s="2">
        <v>0</v>
      </c>
      <c r="CA131" s="2">
        <v>0</v>
      </c>
      <c r="CB131" s="2">
        <v>0</v>
      </c>
      <c r="CC131" s="2">
        <v>0</v>
      </c>
      <c r="CD131" s="2">
        <v>22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2">
        <v>0</v>
      </c>
      <c r="CL131" s="2">
        <v>0</v>
      </c>
      <c r="CM131" s="1">
        <v>0</v>
      </c>
      <c r="CN131" s="93">
        <f t="shared" si="86"/>
        <v>32</v>
      </c>
      <c r="CO131" s="10">
        <f t="shared" si="62"/>
        <v>2599</v>
      </c>
      <c r="CP131" s="1">
        <f t="shared" si="87"/>
        <v>32</v>
      </c>
      <c r="CQ131" s="1">
        <f>SUM(tbSabana2016[[#This Row],[Voluntarios]])</f>
        <v>0</v>
      </c>
      <c r="CR131" s="1">
        <f>tbSabana2016[[#This Row],[CONAFOR (Oficiales)]]*383</f>
        <v>0</v>
      </c>
      <c r="CS131" s="8">
        <f>(tbSabana2016[[#This Row],[Total (Oficiales)]]-tbSabana2016[[#This Row],[CONAFOR (Oficiales)]])*217</f>
        <v>6944</v>
      </c>
      <c r="CT131" s="94">
        <f>SUM(tbSabana2016[[#This Row],[Costo CONAFOR]:[Costo Otros]])</f>
        <v>6944</v>
      </c>
      <c r="CU131" s="8">
        <v>323</v>
      </c>
      <c r="CV131" s="8">
        <f t="shared" si="88"/>
        <v>7267</v>
      </c>
      <c r="CW131" s="1" t="s">
        <v>154</v>
      </c>
      <c r="CX131" s="1" t="s">
        <v>154</v>
      </c>
      <c r="CY131" s="1" t="s">
        <v>154</v>
      </c>
      <c r="CZ131" s="2" t="s">
        <v>154</v>
      </c>
      <c r="DA131" s="1" t="s">
        <v>172</v>
      </c>
      <c r="DB131" s="1" t="s">
        <v>155</v>
      </c>
      <c r="DC131" s="25" t="s">
        <v>168</v>
      </c>
      <c r="DD131" s="1" t="s">
        <v>169</v>
      </c>
      <c r="DE131" s="2" t="s">
        <v>170</v>
      </c>
      <c r="DF131" s="2" t="s">
        <v>159</v>
      </c>
      <c r="DG131" s="2" t="s">
        <v>475</v>
      </c>
      <c r="DH131" s="2">
        <v>0</v>
      </c>
      <c r="DI131" s="2">
        <v>0</v>
      </c>
      <c r="DJ131" s="2">
        <v>1.53</v>
      </c>
      <c r="DK131" s="2">
        <v>3</v>
      </c>
      <c r="DL131" s="2">
        <v>0</v>
      </c>
      <c r="DM131" s="2">
        <v>0</v>
      </c>
      <c r="DN131" s="93">
        <f t="shared" si="89"/>
        <v>4.53</v>
      </c>
      <c r="DO131" s="95"/>
    </row>
    <row r="132" spans="1:119" s="1" customFormat="1" x14ac:dyDescent="0.25">
      <c r="A132" s="2" t="s">
        <v>637</v>
      </c>
      <c r="B132" s="2">
        <v>128</v>
      </c>
      <c r="C132" s="35">
        <v>43581</v>
      </c>
      <c r="D132" s="35">
        <v>43583</v>
      </c>
      <c r="E132" s="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32" s="2">
        <v>32</v>
      </c>
      <c r="G132" s="2">
        <v>1</v>
      </c>
      <c r="H132" s="47">
        <f>WEEKNUM(tbSabana2016[[#This Row],[Fecha de Inicio]],15)</f>
        <v>18</v>
      </c>
      <c r="I132" s="2" t="str">
        <f>TEXT(tbSabana2016[[#This Row],[Fecha de Inicio]],"dddd")</f>
        <v>viernes</v>
      </c>
      <c r="J132" s="2" t="str">
        <f>TEXT(tbSabana2016[[#This Row],[Fecha de Inicio]],"mmmm")</f>
        <v>abril</v>
      </c>
      <c r="K132" s="37" t="s">
        <v>143</v>
      </c>
      <c r="L132" s="23">
        <v>9</v>
      </c>
      <c r="M132" s="96" t="s">
        <v>144</v>
      </c>
      <c r="N132" s="96" t="s">
        <v>643</v>
      </c>
      <c r="O132" s="96" t="s">
        <v>644</v>
      </c>
      <c r="P132" s="2"/>
      <c r="Q132" s="2">
        <v>19</v>
      </c>
      <c r="R132" s="104">
        <v>5</v>
      </c>
      <c r="S132" s="104">
        <v>19.61</v>
      </c>
      <c r="T132" s="104">
        <v>99</v>
      </c>
      <c r="U132" s="104">
        <v>8</v>
      </c>
      <c r="V132" s="104">
        <v>6.68</v>
      </c>
      <c r="W132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05' 19.61'' W 99° 08' 06.68''</v>
      </c>
      <c r="X132" s="2">
        <v>3461</v>
      </c>
      <c r="Y132" s="19">
        <v>0</v>
      </c>
      <c r="Z132" s="19">
        <v>0</v>
      </c>
      <c r="AA132" s="19">
        <v>3</v>
      </c>
      <c r="AB132" s="2">
        <v>2.09</v>
      </c>
      <c r="AC132" s="19">
        <v>0</v>
      </c>
      <c r="AD132" s="19">
        <v>0</v>
      </c>
      <c r="AE132" s="2">
        <f>SUM(tbSabana2016[[#This Row],[Arbolado Adulto (HA)]:[Suelo Orgánico (HA)]])</f>
        <v>5.09</v>
      </c>
      <c r="AF132" s="9">
        <f t="shared" ref="AF132:AF133" si="90">SUM(AF131,AE132)</f>
        <v>1928.9999999999995</v>
      </c>
      <c r="AG132" s="9">
        <f>tbSabana2016[[#This Row],[Acumulado (HA)]]/tbSabana2016[[#This Row],[Incendio en el AÑO]]</f>
        <v>15.070312499999996</v>
      </c>
      <c r="AH132" s="2" t="s">
        <v>147</v>
      </c>
      <c r="AI132" s="2" t="s">
        <v>165</v>
      </c>
      <c r="AJ132" s="2" t="s">
        <v>139</v>
      </c>
      <c r="AK132" s="2" t="s">
        <v>166</v>
      </c>
      <c r="AL132" s="2" t="s">
        <v>150</v>
      </c>
      <c r="AM132" s="2" t="s">
        <v>205</v>
      </c>
      <c r="AN132" s="32">
        <v>43581.489583333336</v>
      </c>
      <c r="AO132" s="32">
        <v>43581.493055555555</v>
      </c>
      <c r="AP132" s="32">
        <v>43581.5</v>
      </c>
      <c r="AQ132" s="32">
        <v>43581.5625</v>
      </c>
      <c r="AR132" s="32">
        <v>43581.5625</v>
      </c>
      <c r="AS132" s="32">
        <v>43582.388888888891</v>
      </c>
      <c r="AT132" s="32">
        <v>43583.555555555555</v>
      </c>
      <c r="AU132" s="32">
        <v>43583.666666666664</v>
      </c>
      <c r="AV132" s="32">
        <v>43583.833333333336</v>
      </c>
      <c r="AW132" s="40">
        <v>2.1770833333333335</v>
      </c>
      <c r="AX132" s="39">
        <v>3.472222222222222E-3</v>
      </c>
      <c r="AY132" s="39">
        <v>6.9444444444444434E-2</v>
      </c>
      <c r="AZ132" s="40">
        <f>SUM(tbSabana2016[[#This Row],[Duración]])</f>
        <v>2.1770833333333335</v>
      </c>
      <c r="BA132" s="2">
        <v>0.6</v>
      </c>
      <c r="BB132" s="2">
        <v>2.8</v>
      </c>
      <c r="BC132" s="2">
        <v>0</v>
      </c>
      <c r="BD132" s="2">
        <v>0</v>
      </c>
      <c r="BE132" s="2">
        <v>1</v>
      </c>
      <c r="BF132" s="2">
        <v>0</v>
      </c>
      <c r="BG132" s="2">
        <v>0</v>
      </c>
      <c r="BH132" s="2">
        <v>3</v>
      </c>
      <c r="BI132" s="2">
        <v>0</v>
      </c>
      <c r="BJ132" s="2" t="s">
        <v>176</v>
      </c>
      <c r="BK132" s="2">
        <v>1</v>
      </c>
      <c r="BL132" s="2">
        <v>0</v>
      </c>
      <c r="BM132" s="2">
        <v>1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 t="s">
        <v>666</v>
      </c>
      <c r="BT132" s="2">
        <v>66</v>
      </c>
      <c r="BU132" s="2">
        <v>0</v>
      </c>
      <c r="BV132" s="2">
        <v>10</v>
      </c>
      <c r="BW132" s="2">
        <v>10</v>
      </c>
      <c r="BX132" s="2">
        <v>0</v>
      </c>
      <c r="BY132" s="2">
        <v>17</v>
      </c>
      <c r="BZ132" s="2">
        <v>0</v>
      </c>
      <c r="CA132" s="2">
        <v>0</v>
      </c>
      <c r="CB132" s="2">
        <v>0</v>
      </c>
      <c r="CC132" s="2">
        <v>0</v>
      </c>
      <c r="CD132" s="2">
        <v>12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2">
        <v>0</v>
      </c>
      <c r="CL132" s="2">
        <v>0</v>
      </c>
      <c r="CM132" s="1">
        <v>0</v>
      </c>
      <c r="CN132" s="93">
        <f t="shared" si="86"/>
        <v>115</v>
      </c>
      <c r="CO132" s="10">
        <f t="shared" si="62"/>
        <v>2714</v>
      </c>
      <c r="CP132" s="1">
        <f t="shared" si="87"/>
        <v>115</v>
      </c>
      <c r="CQ132" s="1">
        <f>SUM(tbSabana2016[[#This Row],[Voluntarios]])</f>
        <v>0</v>
      </c>
      <c r="CR132" s="1">
        <f>tbSabana2016[[#This Row],[CONAFOR (Oficiales)]]*383</f>
        <v>25278</v>
      </c>
      <c r="CS132" s="8">
        <f>(tbSabana2016[[#This Row],[Total (Oficiales)]]-tbSabana2016[[#This Row],[CONAFOR (Oficiales)]])*217</f>
        <v>10633</v>
      </c>
      <c r="CT132" s="94">
        <f>SUM(tbSabana2016[[#This Row],[Costo CONAFOR]:[Costo Otros]])</f>
        <v>35911</v>
      </c>
      <c r="CU132" s="8">
        <v>2508</v>
      </c>
      <c r="CV132" s="8">
        <f t="shared" si="88"/>
        <v>38419</v>
      </c>
      <c r="CW132" s="1">
        <v>17</v>
      </c>
      <c r="CX132" s="1">
        <v>2</v>
      </c>
      <c r="CY132" s="1">
        <v>40</v>
      </c>
      <c r="CZ132" s="2" t="s">
        <v>586</v>
      </c>
      <c r="DA132" s="1" t="s">
        <v>172</v>
      </c>
      <c r="DB132" s="1" t="s">
        <v>155</v>
      </c>
      <c r="DC132" s="25" t="s">
        <v>362</v>
      </c>
      <c r="DD132" s="1" t="s">
        <v>370</v>
      </c>
      <c r="DE132" s="2" t="s">
        <v>170</v>
      </c>
      <c r="DF132" s="2" t="s">
        <v>158</v>
      </c>
      <c r="DG132" s="2" t="s">
        <v>645</v>
      </c>
      <c r="DH132" s="2">
        <v>0</v>
      </c>
      <c r="DI132" s="2">
        <v>0</v>
      </c>
      <c r="DJ132" s="2">
        <v>3</v>
      </c>
      <c r="DK132" s="2">
        <v>2</v>
      </c>
      <c r="DL132" s="2">
        <v>0</v>
      </c>
      <c r="DM132" s="2">
        <v>0</v>
      </c>
      <c r="DN132" s="93">
        <f t="shared" si="89"/>
        <v>5</v>
      </c>
      <c r="DO132" s="95"/>
    </row>
    <row r="133" spans="1:119" s="1" customFormat="1" x14ac:dyDescent="0.25">
      <c r="A133" s="2" t="s">
        <v>638</v>
      </c>
      <c r="B133" s="2">
        <v>129</v>
      </c>
      <c r="C133" s="35">
        <v>43582</v>
      </c>
      <c r="D133" s="35">
        <v>43582</v>
      </c>
      <c r="E133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33" s="2">
        <v>33</v>
      </c>
      <c r="G133" s="2">
        <v>1</v>
      </c>
      <c r="H133" s="47">
        <f>WEEKNUM(tbSabana2016[[#This Row],[Fecha de Inicio]],15)</f>
        <v>18</v>
      </c>
      <c r="I133" s="2" t="str">
        <f>TEXT(tbSabana2016[[#This Row],[Fecha de Inicio]],"dddd")</f>
        <v>sábado</v>
      </c>
      <c r="J133" s="2" t="str">
        <f>TEXT(tbSabana2016[[#This Row],[Fecha de Inicio]],"mmmm")</f>
        <v>abril</v>
      </c>
      <c r="K133" s="37" t="s">
        <v>143</v>
      </c>
      <c r="L133" s="23">
        <v>20</v>
      </c>
      <c r="M133" s="38" t="s">
        <v>162</v>
      </c>
      <c r="N133" s="96" t="s">
        <v>163</v>
      </c>
      <c r="O133" s="96" t="s">
        <v>642</v>
      </c>
      <c r="P133" s="2"/>
      <c r="Q133" s="2">
        <v>18</v>
      </c>
      <c r="R133" s="104">
        <v>59</v>
      </c>
      <c r="S133" s="104">
        <v>30.9</v>
      </c>
      <c r="T133" s="104">
        <v>99</v>
      </c>
      <c r="U133" s="104">
        <v>9</v>
      </c>
      <c r="V133" s="104">
        <v>56.97</v>
      </c>
      <c r="W133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30.90'' W 99° 09' 56.97''</v>
      </c>
      <c r="X133" s="2">
        <v>1840</v>
      </c>
      <c r="Y133" s="19">
        <v>0</v>
      </c>
      <c r="Z133" s="19">
        <v>0</v>
      </c>
      <c r="AA133" s="19">
        <v>0.7</v>
      </c>
      <c r="AB133" s="2">
        <v>0</v>
      </c>
      <c r="AC133" s="19">
        <v>0.51</v>
      </c>
      <c r="AD133" s="19">
        <v>0</v>
      </c>
      <c r="AE133" s="2">
        <f>SUM(tbSabana2016[[#This Row],[Arbolado Adulto (HA)]:[Suelo Orgánico (HA)]])</f>
        <v>1.21</v>
      </c>
      <c r="AF133" s="9">
        <f t="shared" si="90"/>
        <v>1930.2099999999996</v>
      </c>
      <c r="AG133" s="9">
        <f>tbSabana2016[[#This Row],[Acumulado (HA)]]/tbSabana2016[[#This Row],[Incendio en el AÑO]]</f>
        <v>14.962868217054261</v>
      </c>
      <c r="AH133" s="2" t="s">
        <v>147</v>
      </c>
      <c r="AI133" s="2" t="s">
        <v>165</v>
      </c>
      <c r="AJ133" s="2" t="s">
        <v>135</v>
      </c>
      <c r="AK133" s="2" t="s">
        <v>175</v>
      </c>
      <c r="AL133" s="2" t="s">
        <v>150</v>
      </c>
      <c r="AM133" s="2" t="s">
        <v>151</v>
      </c>
      <c r="AN133" s="32">
        <v>43582.675694444442</v>
      </c>
      <c r="AO133" s="32">
        <v>43582.677083333336</v>
      </c>
      <c r="AP133" s="32">
        <v>43582.678472222222</v>
      </c>
      <c r="AQ133" s="32">
        <v>43582.71875</v>
      </c>
      <c r="AR133" s="32">
        <v>43582.736111111109</v>
      </c>
      <c r="AS133" s="32"/>
      <c r="AT133" s="32">
        <v>43582.791666666664</v>
      </c>
      <c r="AU133" s="32">
        <v>43582.833333333336</v>
      </c>
      <c r="AV133" s="32">
        <v>43582.895833333336</v>
      </c>
      <c r="AW133" s="39">
        <v>0.15763888888888888</v>
      </c>
      <c r="AX133" s="39">
        <v>1.3888888888888889E-3</v>
      </c>
      <c r="AY133" s="39">
        <v>4.1666666666666664E-2</v>
      </c>
      <c r="AZ133" s="39">
        <f>SUM(tbSabana2016[[#This Row],[Duración]])</f>
        <v>0.15763888888888888</v>
      </c>
      <c r="BA133" s="2">
        <v>0.05</v>
      </c>
      <c r="BB133" s="2">
        <v>0.3</v>
      </c>
      <c r="BC133" s="2">
        <v>0</v>
      </c>
      <c r="BD133" s="2">
        <v>0</v>
      </c>
      <c r="BE133" s="2">
        <v>0.1</v>
      </c>
      <c r="BF133" s="2">
        <v>0</v>
      </c>
      <c r="BG133" s="2">
        <v>0.08</v>
      </c>
      <c r="BH133" s="2">
        <v>0.5</v>
      </c>
      <c r="BI133" s="2">
        <v>0</v>
      </c>
      <c r="BJ133" s="2" t="s">
        <v>179</v>
      </c>
      <c r="BK133" s="2">
        <v>0</v>
      </c>
      <c r="BL133" s="2">
        <v>0</v>
      </c>
      <c r="BM133" s="2">
        <v>0</v>
      </c>
      <c r="BN133" s="2">
        <v>1</v>
      </c>
      <c r="BO133" s="2">
        <v>0</v>
      </c>
      <c r="BP133" s="2">
        <v>0</v>
      </c>
      <c r="BQ133" s="2">
        <v>0</v>
      </c>
      <c r="BR133" s="2">
        <v>0</v>
      </c>
      <c r="BS133" s="2"/>
      <c r="BT133" s="2">
        <v>8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2">
        <v>0</v>
      </c>
      <c r="CL133" s="2">
        <v>0</v>
      </c>
      <c r="CM133" s="1">
        <v>0</v>
      </c>
      <c r="CN133" s="93">
        <f t="shared" si="86"/>
        <v>8</v>
      </c>
      <c r="CO133" s="10">
        <f t="shared" si="62"/>
        <v>2722</v>
      </c>
      <c r="CP133" s="1">
        <f t="shared" si="87"/>
        <v>8</v>
      </c>
      <c r="CQ133" s="1">
        <f>SUM(tbSabana2016[[#This Row],[Voluntarios]])</f>
        <v>0</v>
      </c>
      <c r="CR133" s="1">
        <f>tbSabana2016[[#This Row],[CONAFOR (Oficiales)]]*383</f>
        <v>3064</v>
      </c>
      <c r="CS133" s="8">
        <f>(tbSabana2016[[#This Row],[Total (Oficiales)]]-tbSabana2016[[#This Row],[CONAFOR (Oficiales)]])*217</f>
        <v>0</v>
      </c>
      <c r="CT133" s="94">
        <f>SUM(tbSabana2016[[#This Row],[Costo CONAFOR]:[Costo Otros]])</f>
        <v>3064</v>
      </c>
      <c r="CU133" s="8">
        <v>399</v>
      </c>
      <c r="CV133" s="8">
        <f t="shared" si="88"/>
        <v>3463</v>
      </c>
      <c r="CW133" s="1" t="s">
        <v>154</v>
      </c>
      <c r="CX133" s="1" t="s">
        <v>154</v>
      </c>
      <c r="CY133" s="1" t="s">
        <v>154</v>
      </c>
      <c r="CZ133" s="2" t="s">
        <v>154</v>
      </c>
      <c r="DA133" s="1" t="s">
        <v>172</v>
      </c>
      <c r="DB133" s="1" t="s">
        <v>155</v>
      </c>
      <c r="DC133" s="2" t="s">
        <v>468</v>
      </c>
      <c r="DD133" s="1" t="s">
        <v>311</v>
      </c>
      <c r="DE133" s="2" t="s">
        <v>170</v>
      </c>
      <c r="DF133" s="2" t="s">
        <v>159</v>
      </c>
      <c r="DG133" s="2" t="s">
        <v>475</v>
      </c>
      <c r="DH133" s="2">
        <v>0</v>
      </c>
      <c r="DI133" s="2">
        <v>0</v>
      </c>
      <c r="DJ133" s="2">
        <v>0.7</v>
      </c>
      <c r="DK133" s="2">
        <v>0</v>
      </c>
      <c r="DL133" s="2">
        <v>0.51</v>
      </c>
      <c r="DM133" s="2">
        <v>0</v>
      </c>
      <c r="DN133" s="93">
        <f t="shared" si="89"/>
        <v>1.21</v>
      </c>
      <c r="DO133" s="95"/>
    </row>
    <row r="134" spans="1:119" s="1" customFormat="1" x14ac:dyDescent="0.25">
      <c r="A134" s="2" t="s">
        <v>646</v>
      </c>
      <c r="B134" s="2">
        <v>130</v>
      </c>
      <c r="C134" s="35">
        <v>43585</v>
      </c>
      <c r="D134" s="35">
        <v>43585</v>
      </c>
      <c r="E134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34" s="2">
        <v>34</v>
      </c>
      <c r="G134" s="2">
        <v>1</v>
      </c>
      <c r="H134" s="47">
        <f>WEEKNUM(tbSabana2016[[#This Row],[Fecha de Inicio]],15)</f>
        <v>18</v>
      </c>
      <c r="I134" s="2" t="str">
        <f>TEXT(tbSabana2016[[#This Row],[Fecha de Inicio]],"dddd")</f>
        <v>martes</v>
      </c>
      <c r="J134" s="2" t="str">
        <f>TEXT(tbSabana2016[[#This Row],[Fecha de Inicio]],"mmmm")</f>
        <v>abril</v>
      </c>
      <c r="K134" s="37" t="s">
        <v>143</v>
      </c>
      <c r="L134" s="23">
        <v>23</v>
      </c>
      <c r="M134" s="38" t="s">
        <v>123</v>
      </c>
      <c r="N134" s="96" t="s">
        <v>123</v>
      </c>
      <c r="O134" s="96" t="s">
        <v>663</v>
      </c>
      <c r="P134" s="2"/>
      <c r="Q134" s="2">
        <v>19</v>
      </c>
      <c r="R134" s="104">
        <v>3</v>
      </c>
      <c r="S134" s="104">
        <v>32.630000000000003</v>
      </c>
      <c r="T134" s="104">
        <v>99</v>
      </c>
      <c r="U134" s="104">
        <v>1</v>
      </c>
      <c r="V134" s="104">
        <v>36.36</v>
      </c>
      <c r="W134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32.63'' W 99° 01' 36.36''</v>
      </c>
      <c r="X134" s="2">
        <v>3108</v>
      </c>
      <c r="Y134" s="19">
        <v>0</v>
      </c>
      <c r="Z134" s="19">
        <v>0</v>
      </c>
      <c r="AA134" s="19">
        <v>30.65</v>
      </c>
      <c r="AB134" s="2">
        <v>61</v>
      </c>
      <c r="AC134" s="19">
        <v>0</v>
      </c>
      <c r="AD134" s="19">
        <v>0</v>
      </c>
      <c r="AE134" s="2">
        <f>SUM(tbSabana2016[[#This Row],[Arbolado Adulto (HA)]:[Suelo Orgánico (HA)]])</f>
        <v>91.65</v>
      </c>
      <c r="AF134" s="9">
        <f t="shared" ref="AF134:AF139" si="91">SUM(AF133,AE134)</f>
        <v>2021.8599999999997</v>
      </c>
      <c r="AG134" s="9">
        <f>tbSabana2016[[#This Row],[Acumulado (HA)]]/tbSabana2016[[#This Row],[Incendio en el AÑO]]</f>
        <v>15.552769230769229</v>
      </c>
      <c r="AH134" s="2" t="s">
        <v>418</v>
      </c>
      <c r="AI134" s="2" t="s">
        <v>665</v>
      </c>
      <c r="AJ134" s="2" t="s">
        <v>139</v>
      </c>
      <c r="AK134" s="2" t="s">
        <v>166</v>
      </c>
      <c r="AL134" s="2" t="s">
        <v>150</v>
      </c>
      <c r="AM134" s="2" t="s">
        <v>205</v>
      </c>
      <c r="AN134" s="32">
        <v>43585.322916666664</v>
      </c>
      <c r="AO134" s="32">
        <v>43585.326388888891</v>
      </c>
      <c r="AP134" s="32">
        <v>43585.333333333336</v>
      </c>
      <c r="AQ134" s="32">
        <v>43585.354166666664</v>
      </c>
      <c r="AR134" s="32">
        <v>43585.357638888891</v>
      </c>
      <c r="AS134" s="32"/>
      <c r="AT134" s="32">
        <v>43585.559027777781</v>
      </c>
      <c r="AU134" s="32">
        <v>43585.75</v>
      </c>
      <c r="AV134" s="32">
        <v>43585.784722222219</v>
      </c>
      <c r="AW134" s="39">
        <v>0.42708333333333331</v>
      </c>
      <c r="AX134" s="39">
        <v>3.472222222222222E-3</v>
      </c>
      <c r="AY134" s="39">
        <v>2.7777777777777776E-2</v>
      </c>
      <c r="AZ134" s="39">
        <f>SUM(tbSabana2016[[#This Row],[Duración]])</f>
        <v>0.42708333333333331</v>
      </c>
      <c r="BA134" s="2">
        <v>3</v>
      </c>
      <c r="BB134" s="2">
        <v>2</v>
      </c>
      <c r="BC134" s="2">
        <v>0</v>
      </c>
      <c r="BD134" s="2">
        <v>0</v>
      </c>
      <c r="BE134" s="2">
        <v>2</v>
      </c>
      <c r="BF134" s="2">
        <v>0</v>
      </c>
      <c r="BG134" s="2">
        <v>0</v>
      </c>
      <c r="BH134" s="2">
        <v>5</v>
      </c>
      <c r="BI134" s="2">
        <v>0</v>
      </c>
      <c r="BJ134" s="2" t="s">
        <v>664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 t="s">
        <v>668</v>
      </c>
      <c r="BT134" s="2">
        <v>0</v>
      </c>
      <c r="BU134" s="2">
        <v>0</v>
      </c>
      <c r="BV134" s="2">
        <v>10</v>
      </c>
      <c r="BW134" s="2">
        <v>0</v>
      </c>
      <c r="BX134" s="2">
        <v>0</v>
      </c>
      <c r="BY134" s="2">
        <v>10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2">
        <v>0</v>
      </c>
      <c r="CL134" s="2">
        <v>0</v>
      </c>
      <c r="CM134" s="1">
        <v>0</v>
      </c>
      <c r="CN134" s="93">
        <f t="shared" ref="CN134:CN139" si="92">SUM(BT134:CM134)</f>
        <v>20</v>
      </c>
      <c r="CO134" s="10">
        <f t="shared" si="62"/>
        <v>2742</v>
      </c>
      <c r="CP134" s="1">
        <f t="shared" si="87"/>
        <v>20</v>
      </c>
      <c r="CQ134" s="1">
        <f>SUM(tbSabana2016[[#This Row],[Voluntarios]])</f>
        <v>0</v>
      </c>
      <c r="CR134" s="1">
        <f>tbSabana2016[[#This Row],[CONAFOR (Oficiales)]]*383</f>
        <v>0</v>
      </c>
      <c r="CS134" s="8">
        <f>(tbSabana2016[[#This Row],[Total (Oficiales)]]-tbSabana2016[[#This Row],[CONAFOR (Oficiales)]])*217</f>
        <v>4340</v>
      </c>
      <c r="CT134" s="94">
        <f>SUM(tbSabana2016[[#This Row],[Costo CONAFOR]:[Costo Otros]])</f>
        <v>4340</v>
      </c>
      <c r="CU134" s="8">
        <v>50.64</v>
      </c>
      <c r="CV134" s="8">
        <f t="shared" si="88"/>
        <v>4390.6400000000003</v>
      </c>
      <c r="CW134" s="1" t="s">
        <v>154</v>
      </c>
      <c r="CX134" s="1" t="s">
        <v>154</v>
      </c>
      <c r="CY134" s="1" t="s">
        <v>154</v>
      </c>
      <c r="CZ134" s="2" t="s">
        <v>154</v>
      </c>
      <c r="DA134" s="1" t="s">
        <v>172</v>
      </c>
      <c r="DB134" s="1" t="s">
        <v>155</v>
      </c>
      <c r="DC134" s="87" t="s">
        <v>156</v>
      </c>
      <c r="DD134" s="1" t="s">
        <v>157</v>
      </c>
      <c r="DE134" s="2" t="s">
        <v>158</v>
      </c>
      <c r="DF134" s="2" t="s">
        <v>159</v>
      </c>
      <c r="DG134" s="2" t="s">
        <v>160</v>
      </c>
      <c r="DH134" s="2">
        <v>0</v>
      </c>
      <c r="DI134" s="2">
        <v>0</v>
      </c>
      <c r="DJ134" s="2">
        <v>30.65</v>
      </c>
      <c r="DK134" s="2">
        <v>61</v>
      </c>
      <c r="DL134" s="2">
        <v>0</v>
      </c>
      <c r="DM134" s="2">
        <v>0</v>
      </c>
      <c r="DN134" s="93">
        <f t="shared" si="89"/>
        <v>91.65</v>
      </c>
      <c r="DO134" s="95"/>
    </row>
    <row r="135" spans="1:119" s="1" customFormat="1" x14ac:dyDescent="0.25">
      <c r="A135" s="2" t="s">
        <v>647</v>
      </c>
      <c r="B135" s="2">
        <v>131</v>
      </c>
      <c r="C135" s="35">
        <v>43585</v>
      </c>
      <c r="D135" s="35">
        <v>43585</v>
      </c>
      <c r="E135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35" s="2">
        <v>35</v>
      </c>
      <c r="G135" s="2">
        <v>1</v>
      </c>
      <c r="H135" s="47">
        <f>WEEKNUM(tbSabana2016[[#This Row],[Fecha de Inicio]],15)</f>
        <v>18</v>
      </c>
      <c r="I135" s="2" t="str">
        <f>TEXT(tbSabana2016[[#This Row],[Fecha de Inicio]],"dddd")</f>
        <v>martes</v>
      </c>
      <c r="J135" s="2" t="str">
        <f>TEXT(tbSabana2016[[#This Row],[Fecha de Inicio]],"mmmm")</f>
        <v>abril</v>
      </c>
      <c r="K135" s="37" t="s">
        <v>143</v>
      </c>
      <c r="L135" s="23">
        <v>22</v>
      </c>
      <c r="M135" s="38" t="s">
        <v>648</v>
      </c>
      <c r="N135" s="38" t="s">
        <v>648</v>
      </c>
      <c r="O135" s="96" t="s">
        <v>649</v>
      </c>
      <c r="P135" s="2"/>
      <c r="Q135" s="2">
        <v>18</v>
      </c>
      <c r="R135" s="104">
        <v>56</v>
      </c>
      <c r="S135" s="104">
        <v>10.4</v>
      </c>
      <c r="T135" s="104">
        <v>98</v>
      </c>
      <c r="U135" s="104">
        <v>44</v>
      </c>
      <c r="V135" s="104">
        <v>4.2</v>
      </c>
      <c r="W135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10.40'' W 98° 44' 04.20''</v>
      </c>
      <c r="X135" s="2">
        <v>2624</v>
      </c>
      <c r="Y135" s="19">
        <v>0</v>
      </c>
      <c r="Z135" s="19">
        <v>0</v>
      </c>
      <c r="AA135" s="19">
        <v>0.5</v>
      </c>
      <c r="AB135" s="2">
        <v>0.4</v>
      </c>
      <c r="AC135" s="19">
        <v>0</v>
      </c>
      <c r="AD135" s="19">
        <v>0</v>
      </c>
      <c r="AE135" s="2">
        <f>SUM(tbSabana2016[[#This Row],[Arbolado Adulto (HA)]:[Suelo Orgánico (HA)]])</f>
        <v>0.9</v>
      </c>
      <c r="AF135" s="9">
        <f t="shared" si="91"/>
        <v>2022.7599999999998</v>
      </c>
      <c r="AG135" s="9">
        <f>tbSabana2016[[#This Row],[Acumulado (HA)]]/tbSabana2016[[#This Row],[Incendio en el AÑO]]</f>
        <v>15.44091603053435</v>
      </c>
      <c r="AH135" s="2" t="s">
        <v>418</v>
      </c>
      <c r="AI135" s="2" t="s">
        <v>650</v>
      </c>
      <c r="AJ135" s="2" t="s">
        <v>134</v>
      </c>
      <c r="AK135" s="2" t="s">
        <v>200</v>
      </c>
      <c r="AL135" s="2" t="s">
        <v>201</v>
      </c>
      <c r="AM135" s="2" t="s">
        <v>151</v>
      </c>
      <c r="AN135" s="32">
        <v>43585.576388888891</v>
      </c>
      <c r="AO135" s="32">
        <v>43585.579861111109</v>
      </c>
      <c r="AP135" s="32">
        <v>43585.586805555555</v>
      </c>
      <c r="AQ135" s="32">
        <v>43585.604166666664</v>
      </c>
      <c r="AR135" s="32">
        <v>43585.607638888891</v>
      </c>
      <c r="AS135" s="32"/>
      <c r="AT135" s="32">
        <v>43585.6875</v>
      </c>
      <c r="AU135" s="32">
        <v>43585.71875</v>
      </c>
      <c r="AV135" s="32">
        <v>43585.743055555555</v>
      </c>
      <c r="AW135" s="39">
        <v>0.1423611111111111</v>
      </c>
      <c r="AX135" s="39">
        <v>3.472222222222222E-3</v>
      </c>
      <c r="AY135" s="39">
        <v>2.4305555555555556E-2</v>
      </c>
      <c r="AZ135" s="39">
        <f>SUM(tbSabana2016[[#This Row],[Duración]])</f>
        <v>0.1423611111111111</v>
      </c>
      <c r="BA135" s="2">
        <v>0.2</v>
      </c>
      <c r="BB135" s="2">
        <v>0.4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0.8</v>
      </c>
      <c r="BI135" s="2">
        <v>0</v>
      </c>
      <c r="BJ135" s="2" t="s">
        <v>651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 t="s">
        <v>652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9</v>
      </c>
      <c r="CE135" s="1">
        <v>0</v>
      </c>
      <c r="CF135" s="1">
        <v>0</v>
      </c>
      <c r="CG135" s="1">
        <v>0</v>
      </c>
      <c r="CH135" s="1">
        <v>7</v>
      </c>
      <c r="CI135" s="1">
        <v>0</v>
      </c>
      <c r="CJ135" s="1">
        <v>0</v>
      </c>
      <c r="CK135" s="2">
        <v>0</v>
      </c>
      <c r="CL135" s="2">
        <v>0</v>
      </c>
      <c r="CM135" s="1">
        <v>0</v>
      </c>
      <c r="CN135" s="93">
        <f t="shared" si="92"/>
        <v>16</v>
      </c>
      <c r="CO135" s="10">
        <f t="shared" si="62"/>
        <v>2758</v>
      </c>
      <c r="CP135" s="1">
        <f t="shared" si="87"/>
        <v>9</v>
      </c>
      <c r="CQ135" s="1">
        <f>SUM(tbSabana2016[[#This Row],[Voluntarios]])</f>
        <v>7</v>
      </c>
      <c r="CR135" s="1">
        <f>tbSabana2016[[#This Row],[CONAFOR (Oficiales)]]*383</f>
        <v>0</v>
      </c>
      <c r="CS135" s="8">
        <f>(tbSabana2016[[#This Row],[Total (Oficiales)]]-tbSabana2016[[#This Row],[CONAFOR (Oficiales)]])*217</f>
        <v>3472</v>
      </c>
      <c r="CT135" s="94">
        <f>SUM(tbSabana2016[[#This Row],[Costo CONAFOR]:[Costo Otros]])</f>
        <v>3472</v>
      </c>
      <c r="CU135" s="8">
        <v>107.94</v>
      </c>
      <c r="CV135" s="8">
        <f t="shared" si="88"/>
        <v>3579.94</v>
      </c>
      <c r="CW135" s="1" t="s">
        <v>154</v>
      </c>
      <c r="CX135" s="1" t="s">
        <v>154</v>
      </c>
      <c r="CY135" s="1" t="s">
        <v>154</v>
      </c>
      <c r="CZ135" s="2" t="s">
        <v>154</v>
      </c>
      <c r="DA135" s="1" t="s">
        <v>172</v>
      </c>
      <c r="DB135" s="1" t="s">
        <v>155</v>
      </c>
      <c r="DC135" s="25" t="s">
        <v>256</v>
      </c>
      <c r="DD135" s="1" t="s">
        <v>257</v>
      </c>
      <c r="DE135" s="2" t="s">
        <v>202</v>
      </c>
      <c r="DF135" s="2" t="s">
        <v>159</v>
      </c>
      <c r="DG135" s="2" t="s">
        <v>203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93">
        <f t="shared" si="89"/>
        <v>0</v>
      </c>
      <c r="DO135" s="95"/>
    </row>
    <row r="136" spans="1:119" s="1" customFormat="1" x14ac:dyDescent="0.25">
      <c r="A136" s="2" t="s">
        <v>654</v>
      </c>
      <c r="B136" s="2">
        <v>132</v>
      </c>
      <c r="C136" s="35">
        <v>43586</v>
      </c>
      <c r="D136" s="35">
        <v>43586</v>
      </c>
      <c r="E136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36" s="2">
        <v>1</v>
      </c>
      <c r="G136" s="2">
        <v>1</v>
      </c>
      <c r="H136" s="47">
        <f>WEEKNUM(tbSabana2016[[#This Row],[Fecha de Inicio]],15)</f>
        <v>18</v>
      </c>
      <c r="I136" s="2" t="str">
        <f>TEXT(tbSabana2016[[#This Row],[Fecha de Inicio]],"dddd")</f>
        <v>miércoles</v>
      </c>
      <c r="J136" s="2" t="str">
        <f>TEXT(tbSabana2016[[#This Row],[Fecha de Inicio]],"mmmm")</f>
        <v>mayo</v>
      </c>
      <c r="K136" s="37" t="s">
        <v>143</v>
      </c>
      <c r="L136" s="23">
        <v>9</v>
      </c>
      <c r="M136" s="38" t="s">
        <v>144</v>
      </c>
      <c r="N136" s="38" t="s">
        <v>477</v>
      </c>
      <c r="O136" s="96" t="s">
        <v>657</v>
      </c>
      <c r="P136" s="2"/>
      <c r="Q136" s="2">
        <v>19</v>
      </c>
      <c r="R136" s="104">
        <v>3</v>
      </c>
      <c r="S136" s="104">
        <v>32.85</v>
      </c>
      <c r="T136" s="104">
        <v>99</v>
      </c>
      <c r="U136" s="104">
        <v>11</v>
      </c>
      <c r="V136" s="104">
        <v>15.67</v>
      </c>
      <c r="W136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32.85'' W 99° 11' 15.67''</v>
      </c>
      <c r="X136" s="2">
        <v>2879</v>
      </c>
      <c r="Y136" s="19">
        <v>0</v>
      </c>
      <c r="Z136" s="19">
        <v>0</v>
      </c>
      <c r="AA136" s="19">
        <v>2.67</v>
      </c>
      <c r="AB136" s="2">
        <v>3</v>
      </c>
      <c r="AC136" s="19">
        <v>0</v>
      </c>
      <c r="AD136" s="19">
        <v>0</v>
      </c>
      <c r="AE136" s="2">
        <f>SUM(tbSabana2016[[#This Row],[Arbolado Adulto (HA)]:[Suelo Orgánico (HA)]])</f>
        <v>5.67</v>
      </c>
      <c r="AF136" s="9">
        <f t="shared" si="91"/>
        <v>2028.4299999999998</v>
      </c>
      <c r="AG136" s="9">
        <f>tbSabana2016[[#This Row],[Acumulado (HA)]]/tbSabana2016[[#This Row],[Incendio en el AÑO]]</f>
        <v>15.366893939393938</v>
      </c>
      <c r="AH136" s="2" t="s">
        <v>147</v>
      </c>
      <c r="AI136" s="2" t="s">
        <v>165</v>
      </c>
      <c r="AJ136" s="2" t="s">
        <v>133</v>
      </c>
      <c r="AK136" s="2" t="s">
        <v>149</v>
      </c>
      <c r="AL136" s="2" t="s">
        <v>150</v>
      </c>
      <c r="AM136" s="2" t="s">
        <v>151</v>
      </c>
      <c r="AN136" s="32">
        <v>43586.638888888891</v>
      </c>
      <c r="AO136" s="32">
        <v>43586.642361111109</v>
      </c>
      <c r="AP136" s="32">
        <v>43586.645833333336</v>
      </c>
      <c r="AQ136" s="32">
        <v>43586.708333333336</v>
      </c>
      <c r="AR136" s="32">
        <v>43586.715277777781</v>
      </c>
      <c r="AS136" s="32"/>
      <c r="AT136" s="32">
        <v>43586.75</v>
      </c>
      <c r="AU136" s="32">
        <v>43586.770833333336</v>
      </c>
      <c r="AV136" s="32">
        <v>43586.833333333336</v>
      </c>
      <c r="AW136" s="39">
        <v>0.13194444444444445</v>
      </c>
      <c r="AX136" s="39">
        <v>3.472222222222222E-3</v>
      </c>
      <c r="AY136" s="39">
        <v>6.5972222222222224E-2</v>
      </c>
      <c r="AZ136" s="39">
        <f>SUM(tbSabana2016[[#This Row],[Duración]])</f>
        <v>0.13194444444444445</v>
      </c>
      <c r="BA136" s="2">
        <v>0.15</v>
      </c>
      <c r="BB136" s="2">
        <v>0.7</v>
      </c>
      <c r="BC136" s="2">
        <v>0</v>
      </c>
      <c r="BD136" s="2">
        <v>0</v>
      </c>
      <c r="BE136" s="2">
        <v>0.2</v>
      </c>
      <c r="BF136" s="2">
        <v>0</v>
      </c>
      <c r="BG136" s="2">
        <v>0.2</v>
      </c>
      <c r="BH136" s="2">
        <v>1</v>
      </c>
      <c r="BI136" s="2">
        <v>0</v>
      </c>
      <c r="BJ136" s="2" t="s">
        <v>179</v>
      </c>
      <c r="BK136" s="2">
        <v>0</v>
      </c>
      <c r="BL136" s="2">
        <v>0</v>
      </c>
      <c r="BM136" s="2">
        <v>0</v>
      </c>
      <c r="BN136" s="2">
        <v>1</v>
      </c>
      <c r="BO136" s="2">
        <v>0</v>
      </c>
      <c r="BP136" s="2">
        <v>0</v>
      </c>
      <c r="BQ136" s="2">
        <v>0</v>
      </c>
      <c r="BR136" s="2">
        <v>0</v>
      </c>
      <c r="BS136" s="2" t="s">
        <v>669</v>
      </c>
      <c r="BT136" s="2">
        <v>8</v>
      </c>
      <c r="BU136" s="2">
        <v>0</v>
      </c>
      <c r="BV136" s="2">
        <v>9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1">
        <v>0</v>
      </c>
      <c r="CF136" s="1">
        <v>0</v>
      </c>
      <c r="CG136" s="1">
        <v>0</v>
      </c>
      <c r="CH136" s="1">
        <v>6</v>
      </c>
      <c r="CI136" s="1">
        <v>0</v>
      </c>
      <c r="CJ136" s="1">
        <v>0</v>
      </c>
      <c r="CK136" s="2">
        <v>0</v>
      </c>
      <c r="CL136" s="2">
        <v>0</v>
      </c>
      <c r="CM136" s="1">
        <v>0</v>
      </c>
      <c r="CN136" s="93">
        <f t="shared" si="92"/>
        <v>23</v>
      </c>
      <c r="CO136" s="10">
        <f t="shared" si="62"/>
        <v>2781</v>
      </c>
      <c r="CP136" s="1">
        <f t="shared" si="87"/>
        <v>17</v>
      </c>
      <c r="CQ136" s="1">
        <f>SUM(tbSabana2016[[#This Row],[Voluntarios]])</f>
        <v>6</v>
      </c>
      <c r="CR136" s="1">
        <f>tbSabana2016[[#This Row],[CONAFOR (Oficiales)]]*383</f>
        <v>3064</v>
      </c>
      <c r="CS136" s="8">
        <f>(tbSabana2016[[#This Row],[Total (Oficiales)]]-tbSabana2016[[#This Row],[CONAFOR (Oficiales)]])*217</f>
        <v>3255</v>
      </c>
      <c r="CT136" s="94">
        <f>SUM(tbSabana2016[[#This Row],[Costo CONAFOR]:[Costo Otros]])</f>
        <v>6319</v>
      </c>
      <c r="CU136" s="8">
        <v>354.42</v>
      </c>
      <c r="CV136" s="8">
        <f t="shared" si="88"/>
        <v>6673.42</v>
      </c>
      <c r="CW136" s="1" t="s">
        <v>154</v>
      </c>
      <c r="CX136" s="1" t="s">
        <v>154</v>
      </c>
      <c r="CY136" s="1" t="s">
        <v>154</v>
      </c>
      <c r="CZ136" s="2" t="s">
        <v>154</v>
      </c>
      <c r="DA136" s="1" t="s">
        <v>172</v>
      </c>
      <c r="DB136" s="1" t="s">
        <v>155</v>
      </c>
      <c r="DC136" s="25" t="s">
        <v>362</v>
      </c>
      <c r="DD136" s="1" t="s">
        <v>370</v>
      </c>
      <c r="DE136" s="2" t="s">
        <v>158</v>
      </c>
      <c r="DF136" s="2" t="s">
        <v>159</v>
      </c>
      <c r="DG136" s="2" t="s">
        <v>160</v>
      </c>
      <c r="DH136" s="2">
        <v>0</v>
      </c>
      <c r="DI136" s="2">
        <v>0</v>
      </c>
      <c r="DJ136" s="2">
        <v>2.67</v>
      </c>
      <c r="DK136" s="2">
        <v>3</v>
      </c>
      <c r="DL136" s="2">
        <v>0</v>
      </c>
      <c r="DM136" s="2">
        <v>0</v>
      </c>
      <c r="DN136" s="93">
        <f t="shared" si="89"/>
        <v>5.67</v>
      </c>
      <c r="DO136" s="95"/>
    </row>
    <row r="137" spans="1:119" s="1" customFormat="1" x14ac:dyDescent="0.25">
      <c r="A137" s="2" t="s">
        <v>653</v>
      </c>
      <c r="B137" s="2">
        <v>133</v>
      </c>
      <c r="C137" s="35">
        <v>43586</v>
      </c>
      <c r="D137" s="35">
        <v>43587</v>
      </c>
      <c r="E137" s="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37" s="2">
        <v>2</v>
      </c>
      <c r="G137" s="2">
        <v>1</v>
      </c>
      <c r="H137" s="47">
        <f>WEEKNUM(tbSabana2016[[#This Row],[Fecha de Inicio]],15)</f>
        <v>18</v>
      </c>
      <c r="I137" s="2" t="str">
        <f>TEXT(tbSabana2016[[#This Row],[Fecha de Inicio]],"dddd")</f>
        <v>miércoles</v>
      </c>
      <c r="J137" s="2" t="str">
        <f>TEXT(tbSabana2016[[#This Row],[Fecha de Inicio]],"mmmm")</f>
        <v>mayo</v>
      </c>
      <c r="K137" s="37" t="s">
        <v>143</v>
      </c>
      <c r="L137" s="23">
        <v>23</v>
      </c>
      <c r="M137" s="38" t="s">
        <v>123</v>
      </c>
      <c r="N137" s="38" t="s">
        <v>123</v>
      </c>
      <c r="O137" s="96" t="s">
        <v>658</v>
      </c>
      <c r="P137" s="2"/>
      <c r="Q137" s="2">
        <v>19</v>
      </c>
      <c r="R137" s="104">
        <v>4</v>
      </c>
      <c r="S137" s="104">
        <v>13.88</v>
      </c>
      <c r="T137" s="104">
        <v>98</v>
      </c>
      <c r="U137" s="104">
        <v>59</v>
      </c>
      <c r="V137" s="104">
        <v>21.42</v>
      </c>
      <c r="W137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04' 13.88'' W 98° 59' 21.42''</v>
      </c>
      <c r="X137" s="2">
        <v>3012</v>
      </c>
      <c r="Y137" s="19">
        <v>0</v>
      </c>
      <c r="Z137" s="19">
        <v>0</v>
      </c>
      <c r="AA137" s="19">
        <v>33</v>
      </c>
      <c r="AB137" s="2">
        <v>50.34</v>
      </c>
      <c r="AC137" s="19">
        <v>20</v>
      </c>
      <c r="AD137" s="19">
        <v>0</v>
      </c>
      <c r="AE137" s="2">
        <f>SUM(tbSabana2016[[#This Row],[Arbolado Adulto (HA)]:[Suelo Orgánico (HA)]])</f>
        <v>103.34</v>
      </c>
      <c r="AF137" s="9">
        <f t="shared" si="91"/>
        <v>2131.77</v>
      </c>
      <c r="AG137" s="9">
        <f>tbSabana2016[[#This Row],[Acumulado (HA)]]/tbSabana2016[[#This Row],[Incendio en el AÑO]]</f>
        <v>16.028345864661652</v>
      </c>
      <c r="AH137" s="2" t="s">
        <v>418</v>
      </c>
      <c r="AI137" s="2" t="s">
        <v>659</v>
      </c>
      <c r="AJ137" s="2" t="s">
        <v>133</v>
      </c>
      <c r="AK137" s="2" t="s">
        <v>149</v>
      </c>
      <c r="AL137" s="2" t="s">
        <v>150</v>
      </c>
      <c r="AM137" s="2" t="s">
        <v>151</v>
      </c>
      <c r="AN137" s="32">
        <v>43586.597222222219</v>
      </c>
      <c r="AO137" s="32">
        <v>43586.604166666664</v>
      </c>
      <c r="AP137" s="32">
        <v>43586.618055555555</v>
      </c>
      <c r="AQ137" s="32">
        <v>43586.680555555555</v>
      </c>
      <c r="AR137" s="32">
        <v>43586.684027777781</v>
      </c>
      <c r="AS137" s="32">
        <v>43587.354166666664</v>
      </c>
      <c r="AT137" s="32">
        <v>43587.458333333336</v>
      </c>
      <c r="AU137" s="32">
        <v>43587.520833333336</v>
      </c>
      <c r="AV137" s="32">
        <v>43587.583333333336</v>
      </c>
      <c r="AW137" s="39">
        <v>0.92361111111111116</v>
      </c>
      <c r="AX137" s="39">
        <v>6.9444444444444441E-3</v>
      </c>
      <c r="AY137" s="39">
        <v>7.6388888888888895E-2</v>
      </c>
      <c r="AZ137" s="39">
        <f>SUM(tbSabana2016[[#This Row],[Duración]])</f>
        <v>0.92361111111111116</v>
      </c>
      <c r="BA137" s="2">
        <v>4</v>
      </c>
      <c r="BB137" s="2">
        <v>8</v>
      </c>
      <c r="BC137" s="2">
        <v>0</v>
      </c>
      <c r="BD137" s="2">
        <v>0</v>
      </c>
      <c r="BE137" s="2">
        <v>2</v>
      </c>
      <c r="BF137" s="2">
        <v>0</v>
      </c>
      <c r="BG137" s="2">
        <v>0</v>
      </c>
      <c r="BH137" s="2">
        <v>10</v>
      </c>
      <c r="BI137" s="2">
        <v>0</v>
      </c>
      <c r="BJ137" s="2" t="s">
        <v>622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 t="s">
        <v>670</v>
      </c>
      <c r="BT137" s="2">
        <v>0</v>
      </c>
      <c r="BU137" s="2">
        <v>0</v>
      </c>
      <c r="BV137" s="2">
        <v>18</v>
      </c>
      <c r="BW137" s="2">
        <v>0</v>
      </c>
      <c r="BX137" s="2">
        <v>0</v>
      </c>
      <c r="BY137" s="2">
        <v>20</v>
      </c>
      <c r="BZ137" s="2">
        <v>0</v>
      </c>
      <c r="CA137" s="2">
        <v>0</v>
      </c>
      <c r="CB137" s="2">
        <v>0</v>
      </c>
      <c r="CC137" s="2">
        <v>0</v>
      </c>
      <c r="CD137" s="2">
        <v>25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2">
        <v>0</v>
      </c>
      <c r="CL137" s="2">
        <v>0</v>
      </c>
      <c r="CM137" s="1">
        <v>0</v>
      </c>
      <c r="CN137" s="93">
        <f t="shared" si="92"/>
        <v>63</v>
      </c>
      <c r="CO137" s="10">
        <f t="shared" si="62"/>
        <v>2844</v>
      </c>
      <c r="CP137" s="1">
        <f t="shared" si="87"/>
        <v>63</v>
      </c>
      <c r="CQ137" s="1">
        <f>SUM(tbSabana2016[[#This Row],[Voluntarios]])</f>
        <v>0</v>
      </c>
      <c r="CR137" s="1">
        <f>tbSabana2016[[#This Row],[CONAFOR (Oficiales)]]*383</f>
        <v>0</v>
      </c>
      <c r="CS137" s="8">
        <f>(tbSabana2016[[#This Row],[Total (Oficiales)]]-tbSabana2016[[#This Row],[CONAFOR (Oficiales)]])*217</f>
        <v>13671</v>
      </c>
      <c r="CT137" s="94">
        <f>SUM(tbSabana2016[[#This Row],[Costo CONAFOR]:[Costo Otros]])</f>
        <v>13671</v>
      </c>
      <c r="CU137" s="8">
        <v>2812</v>
      </c>
      <c r="CV137" s="8">
        <f t="shared" si="88"/>
        <v>16483</v>
      </c>
      <c r="CW137" s="1" t="s">
        <v>154</v>
      </c>
      <c r="CX137" s="1" t="s">
        <v>154</v>
      </c>
      <c r="CY137" s="1" t="s">
        <v>154</v>
      </c>
      <c r="CZ137" s="2" t="s">
        <v>154</v>
      </c>
      <c r="DA137" s="1" t="s">
        <v>172</v>
      </c>
      <c r="DB137" s="1" t="s">
        <v>155</v>
      </c>
      <c r="DC137" s="25" t="s">
        <v>156</v>
      </c>
      <c r="DD137" s="1" t="s">
        <v>157</v>
      </c>
      <c r="DE137" s="2" t="s">
        <v>158</v>
      </c>
      <c r="DF137" s="2" t="s">
        <v>159</v>
      </c>
      <c r="DG137" s="2" t="s">
        <v>160</v>
      </c>
      <c r="DH137" s="2">
        <v>0</v>
      </c>
      <c r="DI137" s="2">
        <v>0</v>
      </c>
      <c r="DJ137" s="2">
        <v>33</v>
      </c>
      <c r="DK137" s="2">
        <v>50.34</v>
      </c>
      <c r="DL137" s="2">
        <v>20</v>
      </c>
      <c r="DM137" s="2">
        <v>0</v>
      </c>
      <c r="DN137" s="93">
        <f t="shared" si="89"/>
        <v>103.34</v>
      </c>
      <c r="DO137" s="95"/>
    </row>
    <row r="138" spans="1:119" s="1" customFormat="1" x14ac:dyDescent="0.25">
      <c r="A138" s="2" t="s">
        <v>655</v>
      </c>
      <c r="B138" s="2">
        <v>134</v>
      </c>
      <c r="C138" s="35">
        <v>43586</v>
      </c>
      <c r="D138" s="35">
        <v>43586</v>
      </c>
      <c r="E138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38" s="2">
        <v>3</v>
      </c>
      <c r="G138" s="2">
        <v>1</v>
      </c>
      <c r="H138" s="47">
        <f>WEEKNUM(tbSabana2016[[#This Row],[Fecha de Inicio]],15)</f>
        <v>18</v>
      </c>
      <c r="I138" s="2" t="str">
        <f>TEXT(tbSabana2016[[#This Row],[Fecha de Inicio]],"dddd")</f>
        <v>miércoles</v>
      </c>
      <c r="J138" s="2" t="str">
        <f>TEXT(tbSabana2016[[#This Row],[Fecha de Inicio]],"mmmm")</f>
        <v>mayo</v>
      </c>
      <c r="K138" s="37" t="s">
        <v>143</v>
      </c>
      <c r="L138" s="23">
        <v>22</v>
      </c>
      <c r="M138" s="38" t="s">
        <v>648</v>
      </c>
      <c r="N138" s="38" t="s">
        <v>648</v>
      </c>
      <c r="O138" s="96" t="s">
        <v>656</v>
      </c>
      <c r="P138" s="2"/>
      <c r="Q138" s="2">
        <v>18</v>
      </c>
      <c r="R138" s="104">
        <v>56</v>
      </c>
      <c r="S138" s="104">
        <v>29.9</v>
      </c>
      <c r="T138" s="104">
        <v>98</v>
      </c>
      <c r="U138" s="104">
        <v>41</v>
      </c>
      <c r="V138" s="104">
        <v>19.100000000000001</v>
      </c>
      <c r="W138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56' 29.90'' W 98° 41' 19.10''</v>
      </c>
      <c r="X138" s="2">
        <v>2954</v>
      </c>
      <c r="Y138" s="19">
        <v>0</v>
      </c>
      <c r="Z138" s="19">
        <v>0</v>
      </c>
      <c r="AA138" s="19">
        <v>0.5</v>
      </c>
      <c r="AB138" s="2">
        <v>0</v>
      </c>
      <c r="AC138" s="19">
        <v>0.4</v>
      </c>
      <c r="AD138" s="19">
        <v>0</v>
      </c>
      <c r="AE138" s="2">
        <f>SUM(tbSabana2016[[#This Row],[Arbolado Adulto (HA)]:[Suelo Orgánico (HA)]])</f>
        <v>0.9</v>
      </c>
      <c r="AF138" s="9">
        <f t="shared" si="91"/>
        <v>2132.67</v>
      </c>
      <c r="AG138" s="9">
        <f>tbSabana2016[[#This Row],[Acumulado (HA)]]/tbSabana2016[[#This Row],[Incendio en el AÑO]]</f>
        <v>15.915447761194031</v>
      </c>
      <c r="AH138" s="2" t="s">
        <v>418</v>
      </c>
      <c r="AI138" s="2" t="s">
        <v>650</v>
      </c>
      <c r="AJ138" s="2" t="s">
        <v>139</v>
      </c>
      <c r="AK138" s="2" t="s">
        <v>166</v>
      </c>
      <c r="AL138" s="2" t="s">
        <v>201</v>
      </c>
      <c r="AM138" s="2" t="s">
        <v>151</v>
      </c>
      <c r="AN138" s="32">
        <v>43586.607638888891</v>
      </c>
      <c r="AO138" s="32">
        <v>43586.611111111109</v>
      </c>
      <c r="AP138" s="32">
        <v>43586.614583333336</v>
      </c>
      <c r="AQ138" s="32">
        <v>43586.652777777781</v>
      </c>
      <c r="AR138" s="32">
        <v>43586.659722222219</v>
      </c>
      <c r="AS138" s="32"/>
      <c r="AT138" s="32">
        <v>43586.708333333336</v>
      </c>
      <c r="AU138" s="32">
        <v>43586.75</v>
      </c>
      <c r="AV138" s="32">
        <v>43586.791666666664</v>
      </c>
      <c r="AW138" s="39">
        <v>0.1423611111111111</v>
      </c>
      <c r="AX138" s="39">
        <v>3.472222222222222E-3</v>
      </c>
      <c r="AY138" s="39">
        <v>4.1666666666666664E-2</v>
      </c>
      <c r="AZ138" s="39">
        <f>SUM(tbSabana2016[[#This Row],[Duración]])</f>
        <v>0.1423611111111111</v>
      </c>
      <c r="BA138" s="2">
        <v>0.1</v>
      </c>
      <c r="BB138" s="2">
        <v>0.2</v>
      </c>
      <c r="BC138" s="2">
        <v>0</v>
      </c>
      <c r="BD138" s="2">
        <v>0</v>
      </c>
      <c r="BE138" s="2">
        <v>0.1</v>
      </c>
      <c r="BF138" s="2">
        <v>0</v>
      </c>
      <c r="BG138" s="2">
        <v>0</v>
      </c>
      <c r="BH138" s="2">
        <v>0</v>
      </c>
      <c r="BI138" s="2">
        <v>0</v>
      </c>
      <c r="BJ138" s="2" t="s">
        <v>651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 t="s">
        <v>652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9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2">
        <v>0</v>
      </c>
      <c r="CL138" s="2">
        <v>0</v>
      </c>
      <c r="CM138" s="1">
        <v>0</v>
      </c>
      <c r="CN138" s="93">
        <f t="shared" si="92"/>
        <v>9</v>
      </c>
      <c r="CO138" s="10">
        <f t="shared" si="62"/>
        <v>2853</v>
      </c>
      <c r="CP138" s="1">
        <f t="shared" si="87"/>
        <v>9</v>
      </c>
      <c r="CQ138" s="1">
        <f>SUM(tbSabana2016[[#This Row],[Voluntarios]])</f>
        <v>0</v>
      </c>
      <c r="CR138" s="1">
        <f>tbSabana2016[[#This Row],[CONAFOR (Oficiales)]]*383</f>
        <v>0</v>
      </c>
      <c r="CS138" s="8">
        <f>(tbSabana2016[[#This Row],[Total (Oficiales)]]-tbSabana2016[[#This Row],[CONAFOR (Oficiales)]])*217</f>
        <v>1953</v>
      </c>
      <c r="CT138" s="94">
        <f>SUM(tbSabana2016[[#This Row],[Costo CONAFOR]:[Costo Otros]])</f>
        <v>1953</v>
      </c>
      <c r="CU138" s="8">
        <v>146.59</v>
      </c>
      <c r="CV138" s="8">
        <f t="shared" si="88"/>
        <v>2099.59</v>
      </c>
      <c r="CW138" s="1" t="s">
        <v>154</v>
      </c>
      <c r="CX138" s="1" t="s">
        <v>154</v>
      </c>
      <c r="CY138" s="1" t="s">
        <v>154</v>
      </c>
      <c r="CZ138" s="2" t="s">
        <v>154</v>
      </c>
      <c r="DA138" s="1" t="s">
        <v>172</v>
      </c>
      <c r="DB138" s="1" t="s">
        <v>155</v>
      </c>
      <c r="DC138" s="25" t="s">
        <v>362</v>
      </c>
      <c r="DD138" s="1" t="s">
        <v>370</v>
      </c>
      <c r="DE138" s="2" t="s">
        <v>202</v>
      </c>
      <c r="DF138" s="2" t="s">
        <v>159</v>
      </c>
      <c r="DG138" s="2" t="s">
        <v>203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93">
        <f t="shared" si="89"/>
        <v>0</v>
      </c>
      <c r="DO138" s="95"/>
    </row>
    <row r="139" spans="1:119" s="1" customFormat="1" x14ac:dyDescent="0.25">
      <c r="A139" s="2" t="s">
        <v>660</v>
      </c>
      <c r="B139" s="2">
        <v>135</v>
      </c>
      <c r="C139" s="35">
        <v>43587</v>
      </c>
      <c r="D139" s="35">
        <v>43587</v>
      </c>
      <c r="E139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39" s="2">
        <v>4</v>
      </c>
      <c r="G139" s="2">
        <v>1</v>
      </c>
      <c r="H139" s="47">
        <f>WEEKNUM(tbSabana2016[[#This Row],[Fecha de Inicio]],15)</f>
        <v>18</v>
      </c>
      <c r="I139" s="2" t="str">
        <f>TEXT(tbSabana2016[[#This Row],[Fecha de Inicio]],"dddd")</f>
        <v>jueves</v>
      </c>
      <c r="J139" s="2" t="str">
        <f>TEXT(tbSabana2016[[#This Row],[Fecha de Inicio]],"mmmm")</f>
        <v>mayo</v>
      </c>
      <c r="K139" s="37" t="s">
        <v>143</v>
      </c>
      <c r="L139" s="23">
        <v>9</v>
      </c>
      <c r="M139" s="38" t="s">
        <v>144</v>
      </c>
      <c r="N139" s="38" t="s">
        <v>477</v>
      </c>
      <c r="O139" s="96" t="s">
        <v>661</v>
      </c>
      <c r="P139" s="2"/>
      <c r="Q139" s="2">
        <v>19</v>
      </c>
      <c r="R139" s="104">
        <v>3</v>
      </c>
      <c r="S139" s="104">
        <v>26.8</v>
      </c>
      <c r="T139" s="104">
        <v>99</v>
      </c>
      <c r="U139" s="104">
        <v>11</v>
      </c>
      <c r="V139" s="104">
        <v>17.100000000000001</v>
      </c>
      <c r="W139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26.80'' W 99° 11' 17.10''</v>
      </c>
      <c r="X139" s="2">
        <v>2877</v>
      </c>
      <c r="Y139" s="19">
        <v>0</v>
      </c>
      <c r="Z139" s="19">
        <v>0</v>
      </c>
      <c r="AA139" s="19">
        <v>0.3</v>
      </c>
      <c r="AB139" s="2">
        <v>0.5</v>
      </c>
      <c r="AC139" s="19">
        <v>0</v>
      </c>
      <c r="AD139" s="19">
        <v>0</v>
      </c>
      <c r="AE139" s="2">
        <f>SUM(tbSabana2016[[#This Row],[Arbolado Adulto (HA)]:[Suelo Orgánico (HA)]])</f>
        <v>0.8</v>
      </c>
      <c r="AF139" s="9">
        <f t="shared" si="91"/>
        <v>2133.4700000000003</v>
      </c>
      <c r="AG139" s="9">
        <f>tbSabana2016[[#This Row],[Acumulado (HA)]]/tbSabana2016[[#This Row],[Incendio en el AÑO]]</f>
        <v>15.803481481481484</v>
      </c>
      <c r="AH139" s="2" t="s">
        <v>147</v>
      </c>
      <c r="AI139" s="2" t="s">
        <v>283</v>
      </c>
      <c r="AJ139" s="2" t="s">
        <v>133</v>
      </c>
      <c r="AK139" s="2" t="s">
        <v>149</v>
      </c>
      <c r="AL139" s="2" t="s">
        <v>150</v>
      </c>
      <c r="AM139" s="2" t="s">
        <v>151</v>
      </c>
      <c r="AN139" s="32">
        <v>43587.402777777781</v>
      </c>
      <c r="AO139" s="32">
        <v>43587.40625</v>
      </c>
      <c r="AP139" s="32">
        <v>43587.409722222219</v>
      </c>
      <c r="AQ139" s="32">
        <v>43587.479166666664</v>
      </c>
      <c r="AR139" s="32">
        <v>43587.482638888891</v>
      </c>
      <c r="AS139" s="32"/>
      <c r="AT139" s="32">
        <v>43587.555555555555</v>
      </c>
      <c r="AU139" s="32">
        <v>43587.579861111109</v>
      </c>
      <c r="AV139" s="32" t="s">
        <v>662</v>
      </c>
      <c r="AW139" s="39">
        <v>0.17708333333333334</v>
      </c>
      <c r="AX139" s="39">
        <v>3.472222222222222E-3</v>
      </c>
      <c r="AY139" s="39">
        <v>7.2916666666666671E-2</v>
      </c>
      <c r="AZ139" s="39">
        <f>SUM(tbSabana2016[[#This Row],[Duración]])</f>
        <v>0.17708333333333334</v>
      </c>
      <c r="BA139" s="2">
        <v>0.3</v>
      </c>
      <c r="BB139" s="2">
        <v>0.4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0.7</v>
      </c>
      <c r="BI139" s="2">
        <v>0</v>
      </c>
      <c r="BJ139" s="2" t="s">
        <v>181</v>
      </c>
      <c r="BK139" s="2">
        <v>0</v>
      </c>
      <c r="BL139" s="2">
        <v>1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 t="s">
        <v>46</v>
      </c>
      <c r="BT139" s="2">
        <v>7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1">
        <v>0</v>
      </c>
      <c r="CF139" s="1">
        <v>0</v>
      </c>
      <c r="CG139" s="1">
        <v>0</v>
      </c>
      <c r="CH139" s="1">
        <v>10</v>
      </c>
      <c r="CI139" s="1">
        <v>0</v>
      </c>
      <c r="CJ139" s="1">
        <v>0</v>
      </c>
      <c r="CK139" s="2">
        <v>0</v>
      </c>
      <c r="CL139" s="2">
        <v>0</v>
      </c>
      <c r="CM139" s="1">
        <v>0</v>
      </c>
      <c r="CN139" s="93">
        <f t="shared" si="92"/>
        <v>17</v>
      </c>
      <c r="CO139" s="10">
        <f t="shared" si="62"/>
        <v>2870</v>
      </c>
      <c r="CP139" s="1">
        <f t="shared" ref="CP139:CP151" si="93">SUM(BT139:CG139,CI139:CM139)</f>
        <v>7</v>
      </c>
      <c r="CQ139" s="1">
        <f>SUM(tbSabana2016[[#This Row],[Voluntarios]])</f>
        <v>10</v>
      </c>
      <c r="CR139" s="1">
        <f>tbSabana2016[[#This Row],[CONAFOR (Oficiales)]]*383</f>
        <v>2681</v>
      </c>
      <c r="CS139" s="8">
        <f>(tbSabana2016[[#This Row],[Total (Oficiales)]]-tbSabana2016[[#This Row],[CONAFOR (Oficiales)]])*217</f>
        <v>2170</v>
      </c>
      <c r="CT139" s="94">
        <f>SUM(tbSabana2016[[#This Row],[Costo CONAFOR]:[Costo Otros]])</f>
        <v>4851</v>
      </c>
      <c r="CU139" s="8">
        <v>334.49</v>
      </c>
      <c r="CV139" s="8">
        <f t="shared" ref="CV139:CV151" si="94">SUM(CT139:CU139)</f>
        <v>5185.49</v>
      </c>
      <c r="CW139" s="1" t="s">
        <v>154</v>
      </c>
      <c r="CX139" s="1" t="s">
        <v>154</v>
      </c>
      <c r="CY139" s="1" t="s">
        <v>154</v>
      </c>
      <c r="CZ139" s="2" t="s">
        <v>154</v>
      </c>
      <c r="DA139" s="1" t="s">
        <v>172</v>
      </c>
      <c r="DB139" s="1" t="s">
        <v>155</v>
      </c>
      <c r="DC139" s="25" t="s">
        <v>362</v>
      </c>
      <c r="DD139" s="1" t="s">
        <v>370</v>
      </c>
      <c r="DE139" s="2" t="s">
        <v>158</v>
      </c>
      <c r="DF139" s="2" t="s">
        <v>159</v>
      </c>
      <c r="DG139" s="2" t="s">
        <v>160</v>
      </c>
      <c r="DH139" s="2">
        <v>0</v>
      </c>
      <c r="DI139" s="2">
        <v>0</v>
      </c>
      <c r="DJ139" s="2">
        <v>0.3</v>
      </c>
      <c r="DK139" s="2">
        <v>0.5</v>
      </c>
      <c r="DL139" s="2">
        <v>0</v>
      </c>
      <c r="DM139" s="2">
        <v>0</v>
      </c>
      <c r="DN139" s="93">
        <f t="shared" ref="DN139:DN151" si="95">SUM(DH139:DM139)</f>
        <v>0.8</v>
      </c>
      <c r="DO139" s="95"/>
    </row>
    <row r="140" spans="1:119" s="1" customFormat="1" x14ac:dyDescent="0.25">
      <c r="A140" s="2" t="s">
        <v>673</v>
      </c>
      <c r="B140" s="2">
        <v>136</v>
      </c>
      <c r="C140" s="35">
        <v>43590</v>
      </c>
      <c r="D140" s="35">
        <v>43591</v>
      </c>
      <c r="E140" s="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40" s="2">
        <v>5</v>
      </c>
      <c r="G140" s="2">
        <v>1</v>
      </c>
      <c r="H140" s="47">
        <v>18</v>
      </c>
      <c r="I140" s="2" t="str">
        <f>TEXT(tbSabana2016[[#This Row],[Fecha de Inicio]],"dddd")</f>
        <v>domingo</v>
      </c>
      <c r="J140" s="2" t="str">
        <f>TEXT(tbSabana2016[[#This Row],[Fecha de Inicio]],"mmmm")</f>
        <v>mayo</v>
      </c>
      <c r="K140" s="37" t="s">
        <v>143</v>
      </c>
      <c r="L140" s="23">
        <v>23</v>
      </c>
      <c r="M140" s="38" t="s">
        <v>123</v>
      </c>
      <c r="N140" s="38" t="s">
        <v>123</v>
      </c>
      <c r="O140" s="96" t="s">
        <v>695</v>
      </c>
      <c r="P140" s="2"/>
      <c r="Q140" s="2">
        <v>19</v>
      </c>
      <c r="R140" s="104">
        <v>2</v>
      </c>
      <c r="S140" s="104">
        <v>52.35</v>
      </c>
      <c r="T140" s="104">
        <v>99</v>
      </c>
      <c r="U140" s="104">
        <v>1</v>
      </c>
      <c r="V140" s="104">
        <v>21.9</v>
      </c>
      <c r="W140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52.35'' W 99° 01' 21.90''</v>
      </c>
      <c r="X140" s="2">
        <v>2993</v>
      </c>
      <c r="Y140" s="19">
        <v>0</v>
      </c>
      <c r="Z140" s="19">
        <v>0</v>
      </c>
      <c r="AA140" s="19">
        <v>47.11</v>
      </c>
      <c r="AB140" s="2">
        <v>90</v>
      </c>
      <c r="AC140" s="19">
        <v>0</v>
      </c>
      <c r="AD140" s="19">
        <v>0</v>
      </c>
      <c r="AE140" s="2">
        <f>SUM(tbSabana2016[[#This Row],[Arbolado Adulto (HA)]:[Suelo Orgánico (HA)]])</f>
        <v>137.11000000000001</v>
      </c>
      <c r="AF140" s="9">
        <f t="shared" ref="AF140:AF145" si="96">SUM(AF139,AE140)</f>
        <v>2270.5800000000004</v>
      </c>
      <c r="AG140" s="9">
        <f>tbSabana2016[[#This Row],[Acumulado (HA)]]/tbSabana2016[[#This Row],[Incendio en el AÑO]]</f>
        <v>16.695441176470592</v>
      </c>
      <c r="AH140" s="2" t="s">
        <v>147</v>
      </c>
      <c r="AI140" s="2" t="s">
        <v>283</v>
      </c>
      <c r="AJ140" s="2" t="s">
        <v>133</v>
      </c>
      <c r="AK140" s="2" t="s">
        <v>149</v>
      </c>
      <c r="AL140" s="2" t="s">
        <v>150</v>
      </c>
      <c r="AM140" s="2" t="s">
        <v>151</v>
      </c>
      <c r="AN140" s="32">
        <v>43590.708333333336</v>
      </c>
      <c r="AO140" s="32">
        <v>43590.715277777781</v>
      </c>
      <c r="AP140" s="32">
        <v>43591.25</v>
      </c>
      <c r="AQ140" s="32">
        <v>43591.291666666664</v>
      </c>
      <c r="AR140" s="32">
        <v>43591.291666666664</v>
      </c>
      <c r="AS140" s="32"/>
      <c r="AT140" s="32">
        <v>43591.541666666664</v>
      </c>
      <c r="AU140" s="32">
        <v>43591.708333333336</v>
      </c>
      <c r="AV140" s="32">
        <v>43591</v>
      </c>
      <c r="AW140" s="39">
        <v>0.99930555555555556</v>
      </c>
      <c r="AX140" s="39">
        <v>6.9444444444444441E-3</v>
      </c>
      <c r="AY140" s="39">
        <v>0.57638888888888895</v>
      </c>
      <c r="AZ140" s="39">
        <f>SUM(tbSabana2016[[#This Row],[Duración]])</f>
        <v>0.99930555555555556</v>
      </c>
      <c r="BA140" s="2">
        <v>0.8</v>
      </c>
      <c r="BB140" s="2">
        <v>0.6</v>
      </c>
      <c r="BC140" s="2">
        <v>0.3</v>
      </c>
      <c r="BD140" s="2">
        <v>0</v>
      </c>
      <c r="BE140" s="2">
        <v>1.2</v>
      </c>
      <c r="BF140" s="2">
        <v>0</v>
      </c>
      <c r="BG140" s="2">
        <v>3.5</v>
      </c>
      <c r="BH140" s="2">
        <v>0</v>
      </c>
      <c r="BI140" s="2">
        <v>0</v>
      </c>
      <c r="BJ140" s="2" t="s">
        <v>664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 t="s">
        <v>696</v>
      </c>
      <c r="BT140" s="2">
        <v>0</v>
      </c>
      <c r="BU140" s="2">
        <v>0</v>
      </c>
      <c r="BV140" s="2">
        <v>19</v>
      </c>
      <c r="BW140" s="2">
        <v>0</v>
      </c>
      <c r="BX140" s="2">
        <v>0</v>
      </c>
      <c r="BY140" s="2">
        <v>10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1">
        <v>0</v>
      </c>
      <c r="CF140" s="1">
        <v>1</v>
      </c>
      <c r="CG140" s="1">
        <v>2</v>
      </c>
      <c r="CH140" s="1">
        <v>0</v>
      </c>
      <c r="CI140" s="1">
        <v>3</v>
      </c>
      <c r="CJ140" s="1">
        <v>0</v>
      </c>
      <c r="CK140" s="2">
        <v>0</v>
      </c>
      <c r="CL140" s="2">
        <v>0</v>
      </c>
      <c r="CM140" s="1">
        <v>0</v>
      </c>
      <c r="CN140" s="93">
        <f t="shared" ref="CN140:CN151" si="97">SUM(BT140:CM140)</f>
        <v>35</v>
      </c>
      <c r="CO140" s="10">
        <f t="shared" si="62"/>
        <v>2905</v>
      </c>
      <c r="CP140" s="1">
        <f t="shared" si="93"/>
        <v>35</v>
      </c>
      <c r="CQ140" s="1">
        <f>SUM(tbSabana2016[[#This Row],[Voluntarios]])</f>
        <v>0</v>
      </c>
      <c r="CR140" s="1">
        <f>tbSabana2016[[#This Row],[CONAFOR (Oficiales)]]*383</f>
        <v>0</v>
      </c>
      <c r="CS140" s="8">
        <f>(tbSabana2016[[#This Row],[Total (Oficiales)]]-tbSabana2016[[#This Row],[CONAFOR (Oficiales)]])*217</f>
        <v>7595</v>
      </c>
      <c r="CT140" s="94">
        <f>SUM(tbSabana2016[[#This Row],[Costo CONAFOR]:[Costo Otros]])</f>
        <v>7595</v>
      </c>
      <c r="CU140" s="8">
        <v>152</v>
      </c>
      <c r="CV140" s="8">
        <f t="shared" si="94"/>
        <v>7747</v>
      </c>
      <c r="CW140" s="1" t="s">
        <v>154</v>
      </c>
      <c r="CX140" s="1" t="s">
        <v>154</v>
      </c>
      <c r="CY140" s="1" t="s">
        <v>154</v>
      </c>
      <c r="CZ140" s="2" t="s">
        <v>154</v>
      </c>
      <c r="DA140" s="1" t="s">
        <v>172</v>
      </c>
      <c r="DB140" s="1" t="s">
        <v>155</v>
      </c>
      <c r="DC140" s="25" t="s">
        <v>256</v>
      </c>
      <c r="DD140" s="1" t="s">
        <v>257</v>
      </c>
      <c r="DE140" s="2" t="s">
        <v>158</v>
      </c>
      <c r="DF140" s="2" t="s">
        <v>159</v>
      </c>
      <c r="DG140" s="2" t="s">
        <v>160</v>
      </c>
      <c r="DH140" s="2">
        <v>0</v>
      </c>
      <c r="DI140" s="2">
        <v>0</v>
      </c>
      <c r="DJ140" s="2">
        <v>47.11</v>
      </c>
      <c r="DK140" s="2">
        <v>90</v>
      </c>
      <c r="DL140" s="2">
        <v>0</v>
      </c>
      <c r="DM140" s="2">
        <v>0</v>
      </c>
      <c r="DN140" s="93">
        <f t="shared" si="95"/>
        <v>137.11000000000001</v>
      </c>
      <c r="DO140" s="95"/>
    </row>
    <row r="141" spans="1:119" s="1" customFormat="1" x14ac:dyDescent="0.25">
      <c r="A141" s="2" t="s">
        <v>674</v>
      </c>
      <c r="B141" s="2">
        <v>137</v>
      </c>
      <c r="C141" s="35">
        <v>43591</v>
      </c>
      <c r="D141" s="35">
        <v>43592</v>
      </c>
      <c r="E141" s="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41" s="2">
        <v>6</v>
      </c>
      <c r="G141" s="2">
        <v>1</v>
      </c>
      <c r="H141" s="47">
        <v>18</v>
      </c>
      <c r="I141" s="2" t="str">
        <f>TEXT(tbSabana2016[[#This Row],[Fecha de Inicio]],"dddd")</f>
        <v>lunes</v>
      </c>
      <c r="J141" s="2" t="str">
        <f>TEXT(tbSabana2016[[#This Row],[Fecha de Inicio]],"mmmm")</f>
        <v>mayo</v>
      </c>
      <c r="K141" s="37" t="s">
        <v>143</v>
      </c>
      <c r="L141" s="23">
        <v>23</v>
      </c>
      <c r="M141" s="38" t="s">
        <v>123</v>
      </c>
      <c r="N141" s="38" t="s">
        <v>123</v>
      </c>
      <c r="O141" s="96" t="s">
        <v>345</v>
      </c>
      <c r="P141" s="2" t="s">
        <v>700</v>
      </c>
      <c r="Q141" s="2">
        <v>19</v>
      </c>
      <c r="R141" s="104">
        <v>2</v>
      </c>
      <c r="S141" s="104">
        <v>8.9</v>
      </c>
      <c r="T141" s="104">
        <v>99</v>
      </c>
      <c r="U141" s="104">
        <v>2</v>
      </c>
      <c r="V141" s="104">
        <v>12.12</v>
      </c>
      <c r="W141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08.90'' W 99° 02' 12.12''</v>
      </c>
      <c r="X141" s="2">
        <v>2864</v>
      </c>
      <c r="Y141" s="19">
        <v>0</v>
      </c>
      <c r="Z141" s="19">
        <v>0</v>
      </c>
      <c r="AA141" s="19">
        <v>18.73</v>
      </c>
      <c r="AB141" s="2">
        <v>20</v>
      </c>
      <c r="AC141" s="19">
        <v>0</v>
      </c>
      <c r="AD141" s="19">
        <v>0</v>
      </c>
      <c r="AE141" s="2">
        <f>SUM(tbSabana2016[[#This Row],[Arbolado Adulto (HA)]:[Suelo Orgánico (HA)]])</f>
        <v>38.730000000000004</v>
      </c>
      <c r="AF141" s="9">
        <f t="shared" si="96"/>
        <v>2309.3100000000004</v>
      </c>
      <c r="AG141" s="9">
        <f>tbSabana2016[[#This Row],[Acumulado (HA)]]/tbSabana2016[[#This Row],[Incendio en el AÑO]]</f>
        <v>16.856277372262777</v>
      </c>
      <c r="AH141" s="2" t="s">
        <v>147</v>
      </c>
      <c r="AI141" s="2" t="s">
        <v>283</v>
      </c>
      <c r="AJ141" s="2" t="s">
        <v>133</v>
      </c>
      <c r="AK141" s="2" t="s">
        <v>149</v>
      </c>
      <c r="AL141" s="2" t="s">
        <v>150</v>
      </c>
      <c r="AM141" s="2" t="s">
        <v>151</v>
      </c>
      <c r="AN141" s="32">
        <v>43591.760416666664</v>
      </c>
      <c r="AO141" s="32">
        <v>43591.763888888891</v>
      </c>
      <c r="AP141" s="32">
        <v>43592.236111111109</v>
      </c>
      <c r="AQ141" s="32">
        <v>43592.319444444445</v>
      </c>
      <c r="AR141" s="32">
        <v>43592.322916666664</v>
      </c>
      <c r="AS141" s="32">
        <v>43592.375</v>
      </c>
      <c r="AT141" s="32">
        <v>43592.541666666664</v>
      </c>
      <c r="AU141" s="32">
        <v>43592.666666666664</v>
      </c>
      <c r="AV141" s="32">
        <v>43592.729166666664</v>
      </c>
      <c r="AW141" s="39">
        <v>0.90625</v>
      </c>
      <c r="AX141" s="39">
        <v>3.472222222222222E-3</v>
      </c>
      <c r="AY141" s="39">
        <v>0.55555555555555558</v>
      </c>
      <c r="AZ141" s="39">
        <f>SUM(tbSabana2016[[#This Row],[Duración]])</f>
        <v>0.90625</v>
      </c>
      <c r="BA141" s="2">
        <v>1</v>
      </c>
      <c r="BB141" s="2">
        <v>1.5</v>
      </c>
      <c r="BC141" s="2">
        <v>0.8</v>
      </c>
      <c r="BD141" s="2">
        <v>0</v>
      </c>
      <c r="BE141" s="2">
        <v>0.8</v>
      </c>
      <c r="BF141" s="2">
        <v>0</v>
      </c>
      <c r="BG141" s="2">
        <v>0</v>
      </c>
      <c r="BH141" s="2">
        <v>3</v>
      </c>
      <c r="BI141" s="2">
        <v>0</v>
      </c>
      <c r="BJ141" s="2" t="s">
        <v>664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 t="s">
        <v>701</v>
      </c>
      <c r="BT141" s="2">
        <v>0</v>
      </c>
      <c r="BU141" s="2">
        <v>0</v>
      </c>
      <c r="BV141" s="2">
        <v>29</v>
      </c>
      <c r="BW141" s="2">
        <v>0</v>
      </c>
      <c r="BX141" s="2">
        <v>0</v>
      </c>
      <c r="BY141" s="2">
        <v>19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1">
        <v>0</v>
      </c>
      <c r="CF141" s="1">
        <v>0</v>
      </c>
      <c r="CG141" s="1">
        <v>0</v>
      </c>
      <c r="CH141" s="1">
        <v>2</v>
      </c>
      <c r="CI141" s="1">
        <v>0</v>
      </c>
      <c r="CJ141" s="1">
        <v>0</v>
      </c>
      <c r="CK141" s="2">
        <v>0</v>
      </c>
      <c r="CL141" s="2">
        <v>0</v>
      </c>
      <c r="CM141" s="1">
        <v>0</v>
      </c>
      <c r="CN141" s="93">
        <f t="shared" si="97"/>
        <v>50</v>
      </c>
      <c r="CO141" s="10">
        <f t="shared" si="62"/>
        <v>2955</v>
      </c>
      <c r="CP141" s="1">
        <f t="shared" si="93"/>
        <v>48</v>
      </c>
      <c r="CQ141" s="1">
        <f>SUM(tbSabana2016[[#This Row],[Voluntarios]])</f>
        <v>2</v>
      </c>
      <c r="CR141" s="1">
        <f>tbSabana2016[[#This Row],[CONAFOR (Oficiales)]]*383</f>
        <v>0</v>
      </c>
      <c r="CS141" s="8">
        <f>(tbSabana2016[[#This Row],[Total (Oficiales)]]-tbSabana2016[[#This Row],[CONAFOR (Oficiales)]])*217</f>
        <v>10850</v>
      </c>
      <c r="CT141" s="94">
        <f>SUM(tbSabana2016[[#This Row],[Costo CONAFOR]:[Costo Otros]])</f>
        <v>10850</v>
      </c>
      <c r="CU141" s="8">
        <v>1026</v>
      </c>
      <c r="CV141" s="8">
        <f t="shared" si="94"/>
        <v>11876</v>
      </c>
      <c r="CW141" s="1" t="s">
        <v>154</v>
      </c>
      <c r="CX141" s="1" t="s">
        <v>154</v>
      </c>
      <c r="CY141" s="1" t="s">
        <v>154</v>
      </c>
      <c r="CZ141" s="2" t="s">
        <v>154</v>
      </c>
      <c r="DA141" s="1" t="s">
        <v>172</v>
      </c>
      <c r="DB141" s="1" t="s">
        <v>155</v>
      </c>
      <c r="DC141" s="2" t="s">
        <v>468</v>
      </c>
      <c r="DD141" s="1" t="s">
        <v>311</v>
      </c>
      <c r="DE141" s="2" t="s">
        <v>158</v>
      </c>
      <c r="DF141" s="2" t="s">
        <v>159</v>
      </c>
      <c r="DG141" s="2" t="s">
        <v>160</v>
      </c>
      <c r="DH141" s="2">
        <v>0</v>
      </c>
      <c r="DI141" s="2">
        <v>0</v>
      </c>
      <c r="DJ141" s="2">
        <v>18.73</v>
      </c>
      <c r="DK141" s="2">
        <v>20</v>
      </c>
      <c r="DL141" s="2">
        <v>0</v>
      </c>
      <c r="DM141" s="2">
        <v>0</v>
      </c>
      <c r="DN141" s="93">
        <f t="shared" si="95"/>
        <v>38.730000000000004</v>
      </c>
      <c r="DO141" s="95"/>
    </row>
    <row r="142" spans="1:119" s="1" customFormat="1" x14ac:dyDescent="0.25">
      <c r="A142" s="2" t="s">
        <v>675</v>
      </c>
      <c r="B142" s="2">
        <v>138</v>
      </c>
      <c r="C142" s="35">
        <v>43592</v>
      </c>
      <c r="D142" s="35">
        <v>43592</v>
      </c>
      <c r="E142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42" s="2">
        <v>7</v>
      </c>
      <c r="G142" s="2">
        <v>1</v>
      </c>
      <c r="H142" s="47">
        <v>18</v>
      </c>
      <c r="I142" s="2" t="str">
        <f>TEXT(tbSabana2016[[#This Row],[Fecha de Inicio]],"dddd")</f>
        <v>martes</v>
      </c>
      <c r="J142" s="2" t="str">
        <f>TEXT(tbSabana2016[[#This Row],[Fecha de Inicio]],"mmmm")</f>
        <v>mayo</v>
      </c>
      <c r="K142" s="37" t="s">
        <v>143</v>
      </c>
      <c r="L142" s="23">
        <v>20</v>
      </c>
      <c r="M142" s="38" t="s">
        <v>162</v>
      </c>
      <c r="N142" s="38" t="s">
        <v>269</v>
      </c>
      <c r="O142" s="96" t="s">
        <v>676</v>
      </c>
      <c r="P142" s="2"/>
      <c r="Q142" s="2">
        <v>19</v>
      </c>
      <c r="R142" s="104">
        <v>0</v>
      </c>
      <c r="S142" s="104">
        <v>35.799999999999997</v>
      </c>
      <c r="T142" s="104">
        <v>99</v>
      </c>
      <c r="U142" s="104">
        <v>5</v>
      </c>
      <c r="V142" s="104">
        <v>52.4</v>
      </c>
      <c r="W142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35.80'' W 99° 05' 52.40''</v>
      </c>
      <c r="X142" s="2">
        <v>2244</v>
      </c>
      <c r="Y142" s="19">
        <v>0</v>
      </c>
      <c r="Z142" s="19">
        <v>0</v>
      </c>
      <c r="AA142" s="19">
        <v>0.3</v>
      </c>
      <c r="AB142" s="2">
        <v>0.6</v>
      </c>
      <c r="AC142" s="19">
        <v>0</v>
      </c>
      <c r="AD142" s="19">
        <v>0</v>
      </c>
      <c r="AE142" s="2">
        <f>SUM(tbSabana2016[[#This Row],[Arbolado Adulto (HA)]:[Suelo Orgánico (HA)]])</f>
        <v>0.89999999999999991</v>
      </c>
      <c r="AF142" s="9">
        <f t="shared" si="96"/>
        <v>2310.2100000000005</v>
      </c>
      <c r="AG142" s="9">
        <f>tbSabana2016[[#This Row],[Acumulado (HA)]]/tbSabana2016[[#This Row],[Incendio en el AÑO]]</f>
        <v>16.740652173913048</v>
      </c>
      <c r="AH142" s="2" t="s">
        <v>147</v>
      </c>
      <c r="AI142" s="2" t="s">
        <v>165</v>
      </c>
      <c r="AJ142" s="2" t="s">
        <v>134</v>
      </c>
      <c r="AK142" s="2" t="s">
        <v>183</v>
      </c>
      <c r="AL142" s="2" t="s">
        <v>150</v>
      </c>
      <c r="AM142" s="2" t="s">
        <v>151</v>
      </c>
      <c r="AN142" s="32">
        <v>43592.701388888891</v>
      </c>
      <c r="AO142" s="32">
        <v>43592.704861111109</v>
      </c>
      <c r="AP142" s="32">
        <v>43592.708333333336</v>
      </c>
      <c r="AQ142" s="32">
        <v>43592.736111111109</v>
      </c>
      <c r="AR142" s="32">
        <v>43592.739583333336</v>
      </c>
      <c r="AS142" s="32"/>
      <c r="AT142" s="32">
        <v>43592.791666666664</v>
      </c>
      <c r="AU142" s="32">
        <v>43592.833333333336</v>
      </c>
      <c r="AV142" s="32">
        <v>43592.861111111109</v>
      </c>
      <c r="AW142" s="39">
        <v>0.13194444444444445</v>
      </c>
      <c r="AX142" s="39">
        <v>3.472222222222222E-3</v>
      </c>
      <c r="AY142" s="39">
        <v>3.125E-2</v>
      </c>
      <c r="AZ142" s="39">
        <f>SUM(tbSabana2016[[#This Row],[Duración]])</f>
        <v>0.13194444444444445</v>
      </c>
      <c r="BA142" s="2">
        <v>0.1</v>
      </c>
      <c r="BB142" s="2">
        <v>0.3</v>
      </c>
      <c r="BC142" s="2">
        <v>0</v>
      </c>
      <c r="BD142" s="2">
        <v>0</v>
      </c>
      <c r="BE142" s="2">
        <v>0.05</v>
      </c>
      <c r="BF142" s="2">
        <v>0</v>
      </c>
      <c r="BG142" s="2">
        <v>0</v>
      </c>
      <c r="BH142" s="2">
        <v>0.5</v>
      </c>
      <c r="BI142" s="2">
        <v>0</v>
      </c>
      <c r="BJ142" s="2" t="s">
        <v>206</v>
      </c>
      <c r="BK142" s="2">
        <v>0</v>
      </c>
      <c r="BL142" s="2">
        <v>0</v>
      </c>
      <c r="BM142" s="2">
        <v>1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 t="s">
        <v>677</v>
      </c>
      <c r="BT142" s="2">
        <v>10</v>
      </c>
      <c r="BU142" s="2"/>
      <c r="BV142" s="2">
        <v>7</v>
      </c>
      <c r="BW142" s="2"/>
      <c r="BX142" s="2">
        <v>9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21</v>
      </c>
      <c r="CE142" s="1">
        <v>9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2">
        <v>0</v>
      </c>
      <c r="CL142" s="2">
        <v>0</v>
      </c>
      <c r="CM142" s="1">
        <v>0</v>
      </c>
      <c r="CN142" s="93">
        <f t="shared" si="97"/>
        <v>56</v>
      </c>
      <c r="CO142" s="10">
        <f t="shared" si="62"/>
        <v>3011</v>
      </c>
      <c r="CP142" s="1">
        <f t="shared" si="93"/>
        <v>56</v>
      </c>
      <c r="CQ142" s="1">
        <f>SUM(tbSabana2016[[#This Row],[Voluntarios]])</f>
        <v>0</v>
      </c>
      <c r="CR142" s="1">
        <f>tbSabana2016[[#This Row],[CONAFOR (Oficiales)]]*383</f>
        <v>3830</v>
      </c>
      <c r="CS142" s="8">
        <f>(tbSabana2016[[#This Row],[Total (Oficiales)]]-tbSabana2016[[#This Row],[CONAFOR (Oficiales)]])*217</f>
        <v>9982</v>
      </c>
      <c r="CT142" s="94">
        <f>SUM(tbSabana2016[[#This Row],[Costo CONAFOR]:[Costo Otros]])</f>
        <v>13812</v>
      </c>
      <c r="CU142" s="8">
        <v>1267.3599999999999</v>
      </c>
      <c r="CV142" s="8">
        <f t="shared" si="94"/>
        <v>15079.36</v>
      </c>
      <c r="CW142" s="1" t="s">
        <v>154</v>
      </c>
      <c r="CX142" s="1" t="s">
        <v>154</v>
      </c>
      <c r="CY142" s="1" t="s">
        <v>154</v>
      </c>
      <c r="CZ142" s="2" t="s">
        <v>154</v>
      </c>
      <c r="DA142" s="1" t="s">
        <v>172</v>
      </c>
      <c r="DB142" s="1" t="s">
        <v>155</v>
      </c>
      <c r="DC142" s="2" t="s">
        <v>468</v>
      </c>
      <c r="DD142" s="1" t="s">
        <v>311</v>
      </c>
      <c r="DE142" s="2" t="s">
        <v>170</v>
      </c>
      <c r="DF142" s="2" t="s">
        <v>159</v>
      </c>
      <c r="DG142" s="2" t="s">
        <v>475</v>
      </c>
      <c r="DH142" s="2">
        <v>0</v>
      </c>
      <c r="DI142" s="2">
        <v>0</v>
      </c>
      <c r="DJ142" s="2">
        <v>0.3</v>
      </c>
      <c r="DK142" s="2">
        <v>0.6</v>
      </c>
      <c r="DL142" s="2">
        <v>0</v>
      </c>
      <c r="DM142" s="2">
        <v>0</v>
      </c>
      <c r="DN142" s="93">
        <f t="shared" si="95"/>
        <v>0.89999999999999991</v>
      </c>
      <c r="DO142" s="95"/>
    </row>
    <row r="143" spans="1:119" s="1" customFormat="1" x14ac:dyDescent="0.25">
      <c r="A143" s="2" t="s">
        <v>678</v>
      </c>
      <c r="B143" s="2">
        <v>139</v>
      </c>
      <c r="C143" s="35">
        <v>43592</v>
      </c>
      <c r="D143" s="35">
        <v>43592</v>
      </c>
      <c r="E143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43" s="2">
        <v>8</v>
      </c>
      <c r="G143" s="2">
        <v>2</v>
      </c>
      <c r="H143" s="47">
        <v>18</v>
      </c>
      <c r="I143" s="2" t="str">
        <f>TEXT(tbSabana2016[[#This Row],[Fecha de Inicio]],"dddd")</f>
        <v>martes</v>
      </c>
      <c r="J143" s="2" t="str">
        <f>TEXT(tbSabana2016[[#This Row],[Fecha de Inicio]],"mmmm")</f>
        <v>mayo</v>
      </c>
      <c r="K143" s="37" t="s">
        <v>143</v>
      </c>
      <c r="L143" s="23">
        <v>20</v>
      </c>
      <c r="M143" s="38" t="s">
        <v>162</v>
      </c>
      <c r="N143" s="38" t="s">
        <v>163</v>
      </c>
      <c r="O143" s="96" t="s">
        <v>679</v>
      </c>
      <c r="P143" s="2"/>
      <c r="Q143" s="2">
        <v>19</v>
      </c>
      <c r="R143" s="104">
        <v>59</v>
      </c>
      <c r="S143" s="104">
        <v>7.43</v>
      </c>
      <c r="T143" s="104">
        <v>99</v>
      </c>
      <c r="U143" s="104">
        <v>9</v>
      </c>
      <c r="V143" s="104">
        <v>17.940000000000001</v>
      </c>
      <c r="W143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59' 07.43'' W 99° 09' 17.94''</v>
      </c>
      <c r="X143" s="2">
        <v>1722</v>
      </c>
      <c r="Y143" s="19">
        <v>0</v>
      </c>
      <c r="Z143" s="19">
        <v>0</v>
      </c>
      <c r="AA143" s="19">
        <v>3.66</v>
      </c>
      <c r="AB143" s="2">
        <v>5</v>
      </c>
      <c r="AC143" s="19">
        <v>0</v>
      </c>
      <c r="AD143" s="19">
        <v>0</v>
      </c>
      <c r="AE143" s="2">
        <f>SUM(tbSabana2016[[#This Row],[Arbolado Adulto (HA)]:[Suelo Orgánico (HA)]])</f>
        <v>8.66</v>
      </c>
      <c r="AF143" s="9">
        <f t="shared" si="96"/>
        <v>2318.8700000000003</v>
      </c>
      <c r="AG143" s="9">
        <f>tbSabana2016[[#This Row],[Acumulado (HA)]]/tbSabana2016[[#This Row],[Incendio en el AÑO]]</f>
        <v>16.682517985611515</v>
      </c>
      <c r="AH143" s="2" t="s">
        <v>147</v>
      </c>
      <c r="AI143" s="2" t="s">
        <v>165</v>
      </c>
      <c r="AJ143" s="2" t="s">
        <v>134</v>
      </c>
      <c r="AK143" s="2" t="s">
        <v>200</v>
      </c>
      <c r="AL143" s="2" t="s">
        <v>150</v>
      </c>
      <c r="AM143" s="2" t="s">
        <v>151</v>
      </c>
      <c r="AN143" s="32">
        <v>43592.697916666664</v>
      </c>
      <c r="AO143" s="32">
        <v>43592.701388888891</v>
      </c>
      <c r="AP143" s="32">
        <v>43592.708333333336</v>
      </c>
      <c r="AQ143" s="32">
        <v>43592.736111111109</v>
      </c>
      <c r="AR143" s="32">
        <v>43592.743055555555</v>
      </c>
      <c r="AS143" s="32"/>
      <c r="AT143" s="32">
        <v>43592.833333333336</v>
      </c>
      <c r="AU143" s="32">
        <v>43592.864583333336</v>
      </c>
      <c r="AV143" s="32">
        <v>43592.902777777781</v>
      </c>
      <c r="AW143" s="39">
        <v>0.16666666666666666</v>
      </c>
      <c r="AX143" s="39">
        <v>3.472222222222222E-3</v>
      </c>
      <c r="AY143" s="39">
        <v>3.4722222222222224E-2</v>
      </c>
      <c r="AZ143" s="39">
        <f>SUM(tbSabana2016[[#This Row],[Duración]])</f>
        <v>0.16666666666666666</v>
      </c>
      <c r="BA143" s="2">
        <v>0.7</v>
      </c>
      <c r="BB143" s="2">
        <v>1.2</v>
      </c>
      <c r="BC143" s="2">
        <v>0</v>
      </c>
      <c r="BD143" s="2">
        <v>0</v>
      </c>
      <c r="BE143" s="2">
        <v>0.8</v>
      </c>
      <c r="BF143" s="2">
        <v>0</v>
      </c>
      <c r="BG143" s="2">
        <v>0.3</v>
      </c>
      <c r="BH143" s="2">
        <v>1</v>
      </c>
      <c r="BI143" s="2">
        <v>0</v>
      </c>
      <c r="BJ143" s="2" t="s">
        <v>176</v>
      </c>
      <c r="BK143" s="2">
        <v>1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 t="s">
        <v>680</v>
      </c>
      <c r="BT143" s="2">
        <v>9</v>
      </c>
      <c r="BU143" s="2">
        <v>0</v>
      </c>
      <c r="BV143" s="2">
        <v>7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2">
        <v>0</v>
      </c>
      <c r="CL143" s="2">
        <v>0</v>
      </c>
      <c r="CM143" s="1">
        <v>0</v>
      </c>
      <c r="CN143" s="93">
        <f t="shared" si="97"/>
        <v>16</v>
      </c>
      <c r="CO143" s="10">
        <f t="shared" si="62"/>
        <v>3027</v>
      </c>
      <c r="CP143" s="1">
        <f t="shared" si="93"/>
        <v>16</v>
      </c>
      <c r="CQ143" s="1">
        <f>SUM(tbSabana2016[[#This Row],[Voluntarios]])</f>
        <v>0</v>
      </c>
      <c r="CR143" s="1">
        <f>tbSabana2016[[#This Row],[CONAFOR (Oficiales)]]*383</f>
        <v>3447</v>
      </c>
      <c r="CS143" s="8">
        <f>(tbSabana2016[[#This Row],[Total (Oficiales)]]-tbSabana2016[[#This Row],[CONAFOR (Oficiales)]])*217</f>
        <v>1519</v>
      </c>
      <c r="CT143" s="94">
        <f>SUM(tbSabana2016[[#This Row],[Costo CONAFOR]:[Costo Otros]])</f>
        <v>4966</v>
      </c>
      <c r="CU143" s="8">
        <v>285.85000000000002</v>
      </c>
      <c r="CV143" s="8">
        <f t="shared" si="94"/>
        <v>5251.85</v>
      </c>
      <c r="CW143" s="1" t="s">
        <v>154</v>
      </c>
      <c r="CX143" s="1" t="s">
        <v>154</v>
      </c>
      <c r="CY143" s="1" t="s">
        <v>154</v>
      </c>
      <c r="CZ143" s="2" t="s">
        <v>154</v>
      </c>
      <c r="DA143" s="1" t="s">
        <v>172</v>
      </c>
      <c r="DB143" s="1" t="s">
        <v>155</v>
      </c>
      <c r="DC143" s="2" t="s">
        <v>468</v>
      </c>
      <c r="DD143" s="1" t="s">
        <v>311</v>
      </c>
      <c r="DE143" s="2" t="s">
        <v>170</v>
      </c>
      <c r="DF143" s="2" t="s">
        <v>159</v>
      </c>
      <c r="DG143" s="2" t="s">
        <v>475</v>
      </c>
      <c r="DH143" s="2">
        <v>0</v>
      </c>
      <c r="DI143" s="2">
        <v>0</v>
      </c>
      <c r="DJ143" s="2">
        <v>3.66</v>
      </c>
      <c r="DK143" s="2">
        <v>5</v>
      </c>
      <c r="DL143" s="2">
        <v>0</v>
      </c>
      <c r="DM143" s="2">
        <v>0</v>
      </c>
      <c r="DN143" s="93">
        <f t="shared" si="95"/>
        <v>8.66</v>
      </c>
      <c r="DO143" s="95"/>
    </row>
    <row r="144" spans="1:119" s="1" customFormat="1" x14ac:dyDescent="0.25">
      <c r="A144" s="2" t="s">
        <v>681</v>
      </c>
      <c r="B144" s="2">
        <v>140</v>
      </c>
      <c r="C144" s="35">
        <v>43593</v>
      </c>
      <c r="D144" s="35">
        <v>43593</v>
      </c>
      <c r="E144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44" s="2">
        <v>9</v>
      </c>
      <c r="G144" s="2">
        <v>1</v>
      </c>
      <c r="H144" s="47">
        <v>19</v>
      </c>
      <c r="I144" s="2" t="str">
        <f>TEXT(tbSabana2016[[#This Row],[Fecha de Inicio]],"dddd")</f>
        <v>miércoles</v>
      </c>
      <c r="J144" s="2" t="str">
        <f>TEXT(tbSabana2016[[#This Row],[Fecha de Inicio]],"mmmm")</f>
        <v>mayo</v>
      </c>
      <c r="K144" s="37" t="s">
        <v>143</v>
      </c>
      <c r="L144" s="23">
        <v>7</v>
      </c>
      <c r="M144" s="38" t="s">
        <v>405</v>
      </c>
      <c r="N144" s="38" t="s">
        <v>406</v>
      </c>
      <c r="O144" s="96" t="s">
        <v>682</v>
      </c>
      <c r="P144" s="2"/>
      <c r="Q144" s="2">
        <v>18</v>
      </c>
      <c r="R144" s="104">
        <v>59</v>
      </c>
      <c r="S144" s="104">
        <v>33</v>
      </c>
      <c r="T144" s="104">
        <v>99</v>
      </c>
      <c r="U144" s="104">
        <v>12</v>
      </c>
      <c r="V144" s="104">
        <v>3</v>
      </c>
      <c r="W144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33.00'' W 99° 12' 03.00''</v>
      </c>
      <c r="X144" s="2">
        <v>1973</v>
      </c>
      <c r="Y144" s="19">
        <v>0</v>
      </c>
      <c r="Z144" s="19">
        <v>0</v>
      </c>
      <c r="AA144" s="19">
        <v>0.3</v>
      </c>
      <c r="AB144" s="2">
        <v>0.1</v>
      </c>
      <c r="AC144" s="19">
        <v>0</v>
      </c>
      <c r="AD144" s="19">
        <v>0</v>
      </c>
      <c r="AE144" s="2">
        <f>SUM(tbSabana2016[[#This Row],[Arbolado Adulto (HA)]:[Suelo Orgánico (HA)]])</f>
        <v>0.4</v>
      </c>
      <c r="AF144" s="9">
        <f t="shared" si="96"/>
        <v>2319.2700000000004</v>
      </c>
      <c r="AG144" s="9">
        <f>tbSabana2016[[#This Row],[Acumulado (HA)]]/tbSabana2016[[#This Row],[Incendio en el AÑO]]</f>
        <v>16.566214285714288</v>
      </c>
      <c r="AH144" s="2" t="s">
        <v>147</v>
      </c>
      <c r="AI144" s="2" t="s">
        <v>165</v>
      </c>
      <c r="AJ144" s="2" t="s">
        <v>139</v>
      </c>
      <c r="AK144" s="2" t="s">
        <v>166</v>
      </c>
      <c r="AL144" s="2" t="s">
        <v>150</v>
      </c>
      <c r="AM144" s="2" t="s">
        <v>151</v>
      </c>
      <c r="AN144" s="32">
        <v>43593.416666666664</v>
      </c>
      <c r="AO144" s="32">
        <v>43593.452777777777</v>
      </c>
      <c r="AP144" s="32">
        <v>43593.45416666667</v>
      </c>
      <c r="AQ144" s="32">
        <v>43593.465277777781</v>
      </c>
      <c r="AR144" s="32">
        <v>43593.46875</v>
      </c>
      <c r="AS144" s="32"/>
      <c r="AT144" s="32">
        <v>43593.541666666664</v>
      </c>
      <c r="AU144" s="32">
        <v>43593.569444444445</v>
      </c>
      <c r="AV144" s="32">
        <v>43593.583333333336</v>
      </c>
      <c r="AW144" s="39">
        <v>0.15277777777777776</v>
      </c>
      <c r="AX144" s="39">
        <v>3.6111111111111115E-2</v>
      </c>
      <c r="AY144" s="39">
        <v>1.2499999999999999E-2</v>
      </c>
      <c r="AZ144" s="39">
        <f>SUM(tbSabana2016[[#This Row],[Duración]])</f>
        <v>0.15277777777777776</v>
      </c>
      <c r="BA144" s="2">
        <v>0.05</v>
      </c>
      <c r="BB144" s="2">
        <v>0.08</v>
      </c>
      <c r="BC144" s="2">
        <v>0</v>
      </c>
      <c r="BD144" s="2">
        <v>0</v>
      </c>
      <c r="BE144" s="2">
        <v>7.0000000000000007E-2</v>
      </c>
      <c r="BF144" s="2">
        <v>0.04</v>
      </c>
      <c r="BG144" s="2">
        <v>0</v>
      </c>
      <c r="BH144" s="2">
        <v>0.08</v>
      </c>
      <c r="BI144" s="2">
        <v>0</v>
      </c>
      <c r="BJ144" s="2" t="s">
        <v>179</v>
      </c>
      <c r="BK144" s="2">
        <v>0</v>
      </c>
      <c r="BL144" s="2">
        <v>0</v>
      </c>
      <c r="BM144" s="2">
        <v>0</v>
      </c>
      <c r="BN144" s="2">
        <v>1</v>
      </c>
      <c r="BO144" s="2">
        <v>0</v>
      </c>
      <c r="BP144" s="2">
        <v>0</v>
      </c>
      <c r="BQ144" s="2">
        <v>0</v>
      </c>
      <c r="BR144" s="2">
        <v>0</v>
      </c>
      <c r="BS144" s="2" t="s">
        <v>683</v>
      </c>
      <c r="BT144" s="2">
        <v>9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4</v>
      </c>
      <c r="CD144" s="2">
        <v>0</v>
      </c>
      <c r="CE144" s="1">
        <v>0</v>
      </c>
      <c r="CF144" s="1">
        <v>0</v>
      </c>
      <c r="CG144" s="1">
        <v>0</v>
      </c>
      <c r="CH144" s="1">
        <v>5</v>
      </c>
      <c r="CI144" s="1">
        <v>0</v>
      </c>
      <c r="CJ144" s="1">
        <v>0</v>
      </c>
      <c r="CK144" s="2">
        <v>0</v>
      </c>
      <c r="CL144" s="2">
        <v>0</v>
      </c>
      <c r="CM144" s="1">
        <v>0</v>
      </c>
      <c r="CN144" s="93">
        <f t="shared" si="97"/>
        <v>18</v>
      </c>
      <c r="CO144" s="10">
        <f t="shared" si="62"/>
        <v>3045</v>
      </c>
      <c r="CP144" s="1">
        <f t="shared" si="93"/>
        <v>13</v>
      </c>
      <c r="CQ144" s="1">
        <f>SUM(tbSabana2016[[#This Row],[Voluntarios]])</f>
        <v>5</v>
      </c>
      <c r="CR144" s="1">
        <f>tbSabana2016[[#This Row],[CONAFOR (Oficiales)]]*383</f>
        <v>3447</v>
      </c>
      <c r="CS144" s="8">
        <f>(tbSabana2016[[#This Row],[Total (Oficiales)]]-tbSabana2016[[#This Row],[CONAFOR (Oficiales)]])*217</f>
        <v>1953</v>
      </c>
      <c r="CT144" s="94">
        <f>SUM(tbSabana2016[[#This Row],[Costo CONAFOR]:[Costo Otros]])</f>
        <v>5400</v>
      </c>
      <c r="CU144" s="8">
        <v>225.88</v>
      </c>
      <c r="CV144" s="8">
        <f t="shared" si="94"/>
        <v>5625.88</v>
      </c>
      <c r="CW144" s="1" t="s">
        <v>154</v>
      </c>
      <c r="CX144" s="1" t="s">
        <v>154</v>
      </c>
      <c r="CY144" s="1" t="s">
        <v>154</v>
      </c>
      <c r="CZ144" s="2" t="s">
        <v>154</v>
      </c>
      <c r="DA144" s="1" t="s">
        <v>172</v>
      </c>
      <c r="DB144" s="1" t="s">
        <v>155</v>
      </c>
      <c r="DC144" s="2" t="s">
        <v>468</v>
      </c>
      <c r="DD144" s="1" t="s">
        <v>311</v>
      </c>
      <c r="DE144" s="2" t="s">
        <v>158</v>
      </c>
      <c r="DF144" s="2" t="s">
        <v>159</v>
      </c>
      <c r="DG144" s="2" t="s">
        <v>160</v>
      </c>
      <c r="DH144" s="2">
        <v>0</v>
      </c>
      <c r="DI144" s="2">
        <v>0</v>
      </c>
      <c r="DJ144" s="2">
        <v>0.3</v>
      </c>
      <c r="DK144" s="2">
        <v>0.1</v>
      </c>
      <c r="DL144" s="2">
        <v>0</v>
      </c>
      <c r="DM144" s="2">
        <v>0</v>
      </c>
      <c r="DN144" s="93">
        <f t="shared" si="95"/>
        <v>0.4</v>
      </c>
      <c r="DO144" s="95"/>
    </row>
    <row r="145" spans="1:119" s="1" customFormat="1" x14ac:dyDescent="0.25">
      <c r="A145" s="2" t="s">
        <v>684</v>
      </c>
      <c r="B145" s="2">
        <v>141</v>
      </c>
      <c r="C145" s="35">
        <v>43593</v>
      </c>
      <c r="D145" s="35">
        <v>43593</v>
      </c>
      <c r="E145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45" s="2">
        <v>10</v>
      </c>
      <c r="G145" s="2">
        <v>1</v>
      </c>
      <c r="H145" s="47">
        <v>19</v>
      </c>
      <c r="I145" s="2" t="str">
        <f>TEXT(tbSabana2016[[#This Row],[Fecha de Inicio]],"dddd")</f>
        <v>miércoles</v>
      </c>
      <c r="J145" s="2" t="str">
        <f>TEXT(tbSabana2016[[#This Row],[Fecha de Inicio]],"mmmm")</f>
        <v>mayo</v>
      </c>
      <c r="K145" s="37" t="s">
        <v>143</v>
      </c>
      <c r="L145" s="23">
        <v>20</v>
      </c>
      <c r="M145" s="38" t="s">
        <v>162</v>
      </c>
      <c r="N145" s="38" t="s">
        <v>269</v>
      </c>
      <c r="O145" s="96" t="s">
        <v>702</v>
      </c>
      <c r="P145" s="2"/>
      <c r="Q145" s="2">
        <v>19</v>
      </c>
      <c r="R145" s="104">
        <v>3</v>
      </c>
      <c r="S145" s="104">
        <v>5.5</v>
      </c>
      <c r="T145" s="104">
        <v>99</v>
      </c>
      <c r="U145" s="104">
        <v>7</v>
      </c>
      <c r="V145" s="104">
        <v>40</v>
      </c>
      <c r="W145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05.50'' W 99° 07' 40.00''</v>
      </c>
      <c r="X145" s="2">
        <v>3001</v>
      </c>
      <c r="Y145" s="19">
        <v>0</v>
      </c>
      <c r="Z145" s="19">
        <v>0</v>
      </c>
      <c r="AA145" s="19">
        <v>6.97</v>
      </c>
      <c r="AB145" s="2">
        <v>8</v>
      </c>
      <c r="AC145" s="19">
        <v>5</v>
      </c>
      <c r="AD145" s="19">
        <v>0</v>
      </c>
      <c r="AE145" s="2">
        <f>SUM(tbSabana2016[[#This Row],[Arbolado Adulto (HA)]:[Suelo Orgánico (HA)]])</f>
        <v>19.97</v>
      </c>
      <c r="AF145" s="9">
        <f t="shared" si="96"/>
        <v>2339.2400000000002</v>
      </c>
      <c r="AG145" s="9">
        <f>tbSabana2016[[#This Row],[Acumulado (HA)]]/tbSabana2016[[#This Row],[Incendio en el AÑO]]</f>
        <v>16.590354609929079</v>
      </c>
      <c r="AH145" s="2" t="s">
        <v>418</v>
      </c>
      <c r="AI145" s="2" t="s">
        <v>665</v>
      </c>
      <c r="AJ145" s="2" t="s">
        <v>133</v>
      </c>
      <c r="AK145" s="2" t="s">
        <v>149</v>
      </c>
      <c r="AL145" s="2" t="s">
        <v>150</v>
      </c>
      <c r="AM145" s="2" t="s">
        <v>151</v>
      </c>
      <c r="AN145" s="32">
        <v>43593.444444444445</v>
      </c>
      <c r="AO145" s="32">
        <v>43593.447916666664</v>
      </c>
      <c r="AP145" s="32">
        <v>43593.456944444442</v>
      </c>
      <c r="AQ145" s="32">
        <v>43593.486111111109</v>
      </c>
      <c r="AR145" s="32">
        <v>43593.486111111109</v>
      </c>
      <c r="AS145" s="32"/>
      <c r="AT145" s="32">
        <v>43593.75</v>
      </c>
      <c r="AU145" s="32">
        <v>43593.770833333336</v>
      </c>
      <c r="AV145" s="32">
        <v>43593.791666666664</v>
      </c>
      <c r="AW145" s="39">
        <v>0.3263888888888889</v>
      </c>
      <c r="AX145" s="39">
        <v>3.472222222222222E-3</v>
      </c>
      <c r="AY145" s="39">
        <v>3.8194444444444441E-2</v>
      </c>
      <c r="AZ145" s="39">
        <f>SUM(tbSabana2016[[#This Row],[Duración]])</f>
        <v>0.3263888888888889</v>
      </c>
      <c r="BA145" s="2">
        <v>0.7</v>
      </c>
      <c r="BB145" s="2">
        <v>0.3</v>
      </c>
      <c r="BC145" s="2">
        <v>0</v>
      </c>
      <c r="BD145" s="2">
        <v>0</v>
      </c>
      <c r="BE145" s="2">
        <v>0.6</v>
      </c>
      <c r="BF145" s="2">
        <v>0</v>
      </c>
      <c r="BG145" s="2">
        <v>0</v>
      </c>
      <c r="BH145" s="2">
        <v>0.9</v>
      </c>
      <c r="BI145" s="2">
        <v>0</v>
      </c>
      <c r="BJ145" s="2" t="s">
        <v>582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 t="s">
        <v>703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9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2">
        <v>0</v>
      </c>
      <c r="CL145" s="2">
        <v>0</v>
      </c>
      <c r="CM145" s="1">
        <v>0</v>
      </c>
      <c r="CN145" s="93">
        <f t="shared" si="97"/>
        <v>9</v>
      </c>
      <c r="CO145" s="10">
        <f t="shared" si="62"/>
        <v>3054</v>
      </c>
      <c r="CP145" s="1">
        <f t="shared" si="93"/>
        <v>9</v>
      </c>
      <c r="CQ145" s="1">
        <f>SUM(tbSabana2016[[#This Row],[Voluntarios]])</f>
        <v>0</v>
      </c>
      <c r="CR145" s="1">
        <f>tbSabana2016[[#This Row],[CONAFOR (Oficiales)]]*383</f>
        <v>0</v>
      </c>
      <c r="CS145" s="8">
        <f>(tbSabana2016[[#This Row],[Total (Oficiales)]]-tbSabana2016[[#This Row],[CONAFOR (Oficiales)]])*217</f>
        <v>1953</v>
      </c>
      <c r="CT145" s="94">
        <f>SUM(tbSabana2016[[#This Row],[Costo CONAFOR]:[Costo Otros]])</f>
        <v>1953</v>
      </c>
      <c r="CU145" s="8">
        <v>95</v>
      </c>
      <c r="CV145" s="8">
        <f t="shared" si="94"/>
        <v>2048</v>
      </c>
      <c r="CW145" s="1" t="s">
        <v>154</v>
      </c>
      <c r="CX145" s="1" t="s">
        <v>154</v>
      </c>
      <c r="CY145" s="1" t="s">
        <v>154</v>
      </c>
      <c r="CZ145" s="2" t="s">
        <v>154</v>
      </c>
      <c r="DA145" s="1" t="s">
        <v>172</v>
      </c>
      <c r="DB145" s="1" t="s">
        <v>155</v>
      </c>
      <c r="DC145" s="25" t="s">
        <v>156</v>
      </c>
      <c r="DD145" s="1" t="s">
        <v>157</v>
      </c>
      <c r="DE145" s="2" t="s">
        <v>170</v>
      </c>
      <c r="DF145" s="2" t="s">
        <v>159</v>
      </c>
      <c r="DG145" s="2" t="s">
        <v>475</v>
      </c>
      <c r="DH145" s="2">
        <v>0</v>
      </c>
      <c r="DI145" s="2">
        <v>0</v>
      </c>
      <c r="DJ145" s="2">
        <v>6.97</v>
      </c>
      <c r="DK145" s="2">
        <v>8</v>
      </c>
      <c r="DL145" s="2">
        <v>5</v>
      </c>
      <c r="DM145" s="2">
        <v>0</v>
      </c>
      <c r="DN145" s="93">
        <f t="shared" si="95"/>
        <v>19.97</v>
      </c>
      <c r="DO145" s="95"/>
    </row>
    <row r="146" spans="1:119" s="1" customFormat="1" x14ac:dyDescent="0.25">
      <c r="A146" s="2" t="s">
        <v>685</v>
      </c>
      <c r="B146" s="2">
        <v>142</v>
      </c>
      <c r="C146" s="35">
        <v>43594</v>
      </c>
      <c r="D146" s="35">
        <v>43595</v>
      </c>
      <c r="E146" s="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46" s="2">
        <v>11</v>
      </c>
      <c r="G146" s="2">
        <v>1</v>
      </c>
      <c r="H146" s="47">
        <v>19</v>
      </c>
      <c r="I146" s="2" t="str">
        <f>TEXT(tbSabana2016[[#This Row],[Fecha de Inicio]],"dddd")</f>
        <v>jueves</v>
      </c>
      <c r="J146" s="2" t="str">
        <f>TEXT(tbSabana2016[[#This Row],[Fecha de Inicio]],"mmmm")</f>
        <v>mayo</v>
      </c>
      <c r="K146" s="37" t="s">
        <v>143</v>
      </c>
      <c r="L146" s="23">
        <v>23</v>
      </c>
      <c r="M146" s="38" t="s">
        <v>123</v>
      </c>
      <c r="N146" s="38" t="s">
        <v>123</v>
      </c>
      <c r="O146" s="96" t="s">
        <v>729</v>
      </c>
      <c r="P146" s="2"/>
      <c r="Q146" s="2">
        <v>19</v>
      </c>
      <c r="R146" s="104">
        <v>2</v>
      </c>
      <c r="S146" s="104">
        <v>18.760000000000002</v>
      </c>
      <c r="T146" s="104">
        <v>99</v>
      </c>
      <c r="U146" s="104">
        <v>0</v>
      </c>
      <c r="V146" s="104">
        <v>58.11</v>
      </c>
      <c r="W146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18.76'' W 99° 00' 58.11''</v>
      </c>
      <c r="X146" s="2">
        <v>2700</v>
      </c>
      <c r="Y146" s="19">
        <v>0</v>
      </c>
      <c r="Z146" s="19">
        <v>80</v>
      </c>
      <c r="AA146" s="19">
        <v>180</v>
      </c>
      <c r="AB146" s="2">
        <v>150</v>
      </c>
      <c r="AC146" s="19">
        <v>57.77</v>
      </c>
      <c r="AD146" s="19">
        <v>0</v>
      </c>
      <c r="AE146" s="2">
        <f>SUM(tbSabana2016[[#This Row],[Arbolado Adulto (HA)]:[Suelo Orgánico (HA)]])</f>
        <v>467.77</v>
      </c>
      <c r="AF146" s="9">
        <f t="shared" ref="AF146:AF151" si="98">SUM(AF145,AE146)</f>
        <v>2807.01</v>
      </c>
      <c r="AG146" s="9">
        <f>tbSabana2016[[#This Row],[Acumulado (HA)]]/tbSabana2016[[#This Row],[Incendio en el AÑO]]</f>
        <v>19.767676056338029</v>
      </c>
      <c r="AH146" s="2" t="s">
        <v>418</v>
      </c>
      <c r="AI146" s="2" t="s">
        <v>659</v>
      </c>
      <c r="AJ146" s="2" t="s">
        <v>133</v>
      </c>
      <c r="AK146" s="2" t="s">
        <v>149</v>
      </c>
      <c r="AL146" s="2" t="s">
        <v>150</v>
      </c>
      <c r="AM146" s="2" t="s">
        <v>151</v>
      </c>
      <c r="AN146" s="32">
        <v>43594.319444444445</v>
      </c>
      <c r="AO146" s="32">
        <v>43594.326388888891</v>
      </c>
      <c r="AP146" s="32">
        <v>43594.333333333336</v>
      </c>
      <c r="AQ146" s="32">
        <v>43594.368055555555</v>
      </c>
      <c r="AR146" s="32">
        <v>43594.368055555555</v>
      </c>
      <c r="AS146" s="32"/>
      <c r="AT146" s="32">
        <v>43595.708333333336</v>
      </c>
      <c r="AU146" s="32">
        <v>43595.833333333336</v>
      </c>
      <c r="AV146" s="32" t="s">
        <v>730</v>
      </c>
      <c r="AW146" s="40">
        <v>1.5138888888888891</v>
      </c>
      <c r="AX146" s="39">
        <v>6.9444444444444441E-3</v>
      </c>
      <c r="AY146" s="39">
        <v>4.1666666666666664E-2</v>
      </c>
      <c r="AZ146" s="40">
        <f>SUM(tbSabana2016[[#This Row],[Duración]])</f>
        <v>1.5138888888888891</v>
      </c>
      <c r="BA146" s="2">
        <v>5</v>
      </c>
      <c r="BB146" s="2">
        <v>3</v>
      </c>
      <c r="BC146" s="2">
        <v>0</v>
      </c>
      <c r="BD146" s="2">
        <v>0</v>
      </c>
      <c r="BE146" s="2">
        <v>4</v>
      </c>
      <c r="BF146" s="2">
        <v>0</v>
      </c>
      <c r="BG146" s="2">
        <v>0</v>
      </c>
      <c r="BH146" s="2">
        <v>5</v>
      </c>
      <c r="BI146" s="2">
        <v>0</v>
      </c>
      <c r="BJ146" s="2" t="s">
        <v>664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 t="s">
        <v>731</v>
      </c>
      <c r="BT146" s="2">
        <v>0</v>
      </c>
      <c r="BU146" s="2">
        <v>0</v>
      </c>
      <c r="BV146" s="2">
        <v>30</v>
      </c>
      <c r="BW146" s="2">
        <v>0</v>
      </c>
      <c r="BX146" s="2">
        <v>0</v>
      </c>
      <c r="BY146" s="2">
        <v>20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3</v>
      </c>
      <c r="CJ146" s="1">
        <v>0</v>
      </c>
      <c r="CK146" s="2">
        <v>0</v>
      </c>
      <c r="CL146" s="2">
        <v>0</v>
      </c>
      <c r="CM146" s="1">
        <v>0</v>
      </c>
      <c r="CN146" s="93">
        <f t="shared" si="97"/>
        <v>53</v>
      </c>
      <c r="CO146" s="10">
        <f t="shared" si="62"/>
        <v>3107</v>
      </c>
      <c r="CP146" s="1">
        <f t="shared" si="93"/>
        <v>53</v>
      </c>
      <c r="CQ146" s="1">
        <f>SUM(tbSabana2016[[#This Row],[Voluntarios]])</f>
        <v>0</v>
      </c>
      <c r="CR146" s="1">
        <f>tbSabana2016[[#This Row],[CONAFOR (Oficiales)]]*383</f>
        <v>0</v>
      </c>
      <c r="CS146" s="8">
        <f>(tbSabana2016[[#This Row],[Total (Oficiales)]]-tbSabana2016[[#This Row],[CONAFOR (Oficiales)]])*217</f>
        <v>11501</v>
      </c>
      <c r="CT146" s="94">
        <f>SUM(tbSabana2016[[#This Row],[Costo CONAFOR]:[Costo Otros]])</f>
        <v>11501</v>
      </c>
      <c r="CU146" s="8">
        <v>1520</v>
      </c>
      <c r="CV146" s="8">
        <f t="shared" si="94"/>
        <v>13021</v>
      </c>
      <c r="CW146" s="1" t="s">
        <v>154</v>
      </c>
      <c r="CX146" s="1" t="s">
        <v>154</v>
      </c>
      <c r="CY146" s="1" t="s">
        <v>154</v>
      </c>
      <c r="CZ146" s="2" t="s">
        <v>154</v>
      </c>
      <c r="DA146" s="1" t="s">
        <v>172</v>
      </c>
      <c r="DB146" s="1" t="s">
        <v>155</v>
      </c>
      <c r="DC146" s="25" t="s">
        <v>156</v>
      </c>
      <c r="DD146" s="1" t="s">
        <v>157</v>
      </c>
      <c r="DE146" s="2" t="s">
        <v>158</v>
      </c>
      <c r="DF146" s="2" t="s">
        <v>159</v>
      </c>
      <c r="DG146" s="2" t="s">
        <v>160</v>
      </c>
      <c r="DH146" s="2">
        <v>0</v>
      </c>
      <c r="DI146" s="2">
        <v>80</v>
      </c>
      <c r="DJ146" s="2">
        <v>180</v>
      </c>
      <c r="DK146" s="2">
        <v>150</v>
      </c>
      <c r="DL146" s="2">
        <v>57.77</v>
      </c>
      <c r="DM146" s="2">
        <v>0</v>
      </c>
      <c r="DN146" s="93">
        <f t="shared" si="95"/>
        <v>467.77</v>
      </c>
      <c r="DO146" s="95"/>
    </row>
    <row r="147" spans="1:119" s="1" customFormat="1" x14ac:dyDescent="0.25">
      <c r="A147" s="2" t="s">
        <v>686</v>
      </c>
      <c r="B147" s="2">
        <v>143</v>
      </c>
      <c r="C147" s="35">
        <v>43594</v>
      </c>
      <c r="D147" s="35">
        <v>43596</v>
      </c>
      <c r="E147" s="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47" s="2">
        <v>12</v>
      </c>
      <c r="G147" s="2">
        <v>1</v>
      </c>
      <c r="H147" s="47">
        <v>19</v>
      </c>
      <c r="I147" s="2" t="str">
        <f>TEXT(tbSabana2016[[#This Row],[Fecha de Inicio]],"dddd")</f>
        <v>jueves</v>
      </c>
      <c r="J147" s="2" t="str">
        <f>TEXT(tbSabana2016[[#This Row],[Fecha de Inicio]],"mmmm")</f>
        <v>mayo</v>
      </c>
      <c r="K147" s="37" t="s">
        <v>143</v>
      </c>
      <c r="L147" s="23">
        <v>20</v>
      </c>
      <c r="M147" s="38" t="s">
        <v>162</v>
      </c>
      <c r="N147" s="38" t="s">
        <v>212</v>
      </c>
      <c r="O147" s="96" t="s">
        <v>697</v>
      </c>
      <c r="P147" s="2"/>
      <c r="Q147" s="2">
        <v>19</v>
      </c>
      <c r="R147" s="104">
        <v>0</v>
      </c>
      <c r="S147" s="104">
        <v>1.19</v>
      </c>
      <c r="T147" s="104">
        <v>99</v>
      </c>
      <c r="U147" s="104">
        <v>6</v>
      </c>
      <c r="V147" s="104">
        <v>15.57</v>
      </c>
      <c r="W147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01.19'' W 99° 06' 15.57''</v>
      </c>
      <c r="X147" s="2">
        <v>2096</v>
      </c>
      <c r="Y147" s="19">
        <v>0</v>
      </c>
      <c r="Z147" s="19">
        <v>0</v>
      </c>
      <c r="AA147" s="19">
        <v>10</v>
      </c>
      <c r="AB147" s="2">
        <v>20</v>
      </c>
      <c r="AC147" s="19">
        <v>8.6999999999999993</v>
      </c>
      <c r="AD147" s="19">
        <v>0</v>
      </c>
      <c r="AE147" s="2">
        <f>SUM(tbSabana2016[[#This Row],[Arbolado Adulto (HA)]:[Suelo Orgánico (HA)]])</f>
        <v>38.700000000000003</v>
      </c>
      <c r="AF147" s="9">
        <f t="shared" si="98"/>
        <v>2845.71</v>
      </c>
      <c r="AG147" s="9">
        <f>tbSabana2016[[#This Row],[Acumulado (HA)]]/tbSabana2016[[#This Row],[Incendio en el AÑO]]</f>
        <v>19.900069930069929</v>
      </c>
      <c r="AH147" s="2" t="s">
        <v>147</v>
      </c>
      <c r="AI147" s="2" t="s">
        <v>283</v>
      </c>
      <c r="AJ147" s="2" t="s">
        <v>134</v>
      </c>
      <c r="AK147" s="2" t="s">
        <v>200</v>
      </c>
      <c r="AL147" s="2" t="s">
        <v>150</v>
      </c>
      <c r="AM147" s="2" t="s">
        <v>151</v>
      </c>
      <c r="AN147" s="32">
        <v>43594.690972222219</v>
      </c>
      <c r="AO147" s="32">
        <v>43594.694444444445</v>
      </c>
      <c r="AP147" s="32">
        <v>43594.697916666664</v>
      </c>
      <c r="AQ147" s="32">
        <v>43594.722222222219</v>
      </c>
      <c r="AR147" s="32">
        <v>43594.722222222219</v>
      </c>
      <c r="AS147" s="32">
        <v>43595.347222222219</v>
      </c>
      <c r="AT147" s="32">
        <v>43596.541666666664</v>
      </c>
      <c r="AU147" s="32">
        <v>43596.833333333336</v>
      </c>
      <c r="AV147" s="32">
        <v>43596.875</v>
      </c>
      <c r="AW147" s="39">
        <v>2.1423611111111112</v>
      </c>
      <c r="AX147" s="39">
        <v>3.472222222222222E-3</v>
      </c>
      <c r="AY147" s="39">
        <v>2.7777777777777776E-2</v>
      </c>
      <c r="AZ147" s="39">
        <f>SUM(tbSabana2016[[#This Row],[Duración]])</f>
        <v>2.1423611111111112</v>
      </c>
      <c r="BA147" s="2">
        <v>0.8</v>
      </c>
      <c r="BB147" s="2">
        <v>3</v>
      </c>
      <c r="BC147" s="2">
        <v>0.5</v>
      </c>
      <c r="BD147" s="2">
        <v>0</v>
      </c>
      <c r="BE147" s="2">
        <v>1</v>
      </c>
      <c r="BF147" s="2">
        <v>0</v>
      </c>
      <c r="BG147" s="2">
        <v>0</v>
      </c>
      <c r="BH147" s="2">
        <v>4</v>
      </c>
      <c r="BI147" s="2">
        <v>0</v>
      </c>
      <c r="BJ147" s="2" t="s">
        <v>698</v>
      </c>
      <c r="BK147" s="2">
        <v>0</v>
      </c>
      <c r="BL147" s="2">
        <v>1</v>
      </c>
      <c r="BM147" s="2">
        <v>1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 t="s">
        <v>699</v>
      </c>
      <c r="BT147" s="2">
        <v>23</v>
      </c>
      <c r="BU147" s="2">
        <v>0</v>
      </c>
      <c r="BV147" s="2">
        <v>42</v>
      </c>
      <c r="BW147" s="2">
        <v>0</v>
      </c>
      <c r="BX147" s="2">
        <v>0</v>
      </c>
      <c r="BY147" s="2">
        <v>26</v>
      </c>
      <c r="BZ147" s="2">
        <v>0</v>
      </c>
      <c r="CA147" s="2">
        <v>0</v>
      </c>
      <c r="CB147" s="2">
        <v>0</v>
      </c>
      <c r="CC147" s="2">
        <v>0</v>
      </c>
      <c r="CD147" s="2">
        <v>25</v>
      </c>
      <c r="CE147" s="1">
        <v>2</v>
      </c>
      <c r="CF147" s="1">
        <v>18</v>
      </c>
      <c r="CG147" s="1">
        <v>17</v>
      </c>
      <c r="CH147" s="1">
        <v>6</v>
      </c>
      <c r="CI147" s="1">
        <v>0</v>
      </c>
      <c r="CJ147" s="1">
        <v>0</v>
      </c>
      <c r="CK147" s="2">
        <v>0</v>
      </c>
      <c r="CL147" s="2">
        <v>0</v>
      </c>
      <c r="CM147" s="1">
        <v>0</v>
      </c>
      <c r="CN147" s="93">
        <f t="shared" si="97"/>
        <v>159</v>
      </c>
      <c r="CO147" s="10">
        <f t="shared" si="62"/>
        <v>3266</v>
      </c>
      <c r="CP147" s="1">
        <f t="shared" si="93"/>
        <v>153</v>
      </c>
      <c r="CQ147" s="1">
        <f>SUM(tbSabana2016[[#This Row],[Voluntarios]])</f>
        <v>6</v>
      </c>
      <c r="CR147" s="1">
        <f>tbSabana2016[[#This Row],[CONAFOR (Oficiales)]]*383</f>
        <v>8809</v>
      </c>
      <c r="CS147" s="8">
        <f>(tbSabana2016[[#This Row],[Total (Oficiales)]]-tbSabana2016[[#This Row],[CONAFOR (Oficiales)]])*217</f>
        <v>29512</v>
      </c>
      <c r="CT147" s="94">
        <f>SUM(tbSabana2016[[#This Row],[Costo CONAFOR]:[Costo Otros]])</f>
        <v>38321</v>
      </c>
      <c r="CU147" s="8">
        <v>1512</v>
      </c>
      <c r="CV147" s="8">
        <f t="shared" si="94"/>
        <v>39833</v>
      </c>
      <c r="CW147" s="1" t="s">
        <v>154</v>
      </c>
      <c r="CX147" s="1" t="s">
        <v>154</v>
      </c>
      <c r="CY147" s="1" t="s">
        <v>154</v>
      </c>
      <c r="CZ147" s="2" t="s">
        <v>154</v>
      </c>
      <c r="DA147" s="1" t="s">
        <v>172</v>
      </c>
      <c r="DB147" s="1" t="s">
        <v>155</v>
      </c>
      <c r="DC147" s="2" t="s">
        <v>468</v>
      </c>
      <c r="DD147" s="1" t="s">
        <v>311</v>
      </c>
      <c r="DE147" s="2" t="s">
        <v>170</v>
      </c>
      <c r="DF147" s="2" t="s">
        <v>159</v>
      </c>
      <c r="DG147" s="2" t="s">
        <v>475</v>
      </c>
      <c r="DH147" s="2">
        <v>0</v>
      </c>
      <c r="DI147" s="2">
        <v>0</v>
      </c>
      <c r="DJ147" s="2">
        <v>10</v>
      </c>
      <c r="DK147" s="2">
        <v>20</v>
      </c>
      <c r="DL147" s="2">
        <v>8.6999999999999993</v>
      </c>
      <c r="DM147" s="2">
        <v>0</v>
      </c>
      <c r="DN147" s="93">
        <f t="shared" si="95"/>
        <v>38.700000000000003</v>
      </c>
      <c r="DO147" s="95"/>
    </row>
    <row r="148" spans="1:119" s="1" customFormat="1" x14ac:dyDescent="0.25">
      <c r="A148" s="2" t="s">
        <v>687</v>
      </c>
      <c r="B148" s="2">
        <v>144</v>
      </c>
      <c r="C148" s="35">
        <v>43595</v>
      </c>
      <c r="D148" s="35">
        <v>43598</v>
      </c>
      <c r="E148" s="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48" s="2">
        <v>13</v>
      </c>
      <c r="G148" s="2">
        <v>1</v>
      </c>
      <c r="H148" s="47">
        <v>19</v>
      </c>
      <c r="I148" s="2" t="str">
        <f>TEXT(tbSabana2016[[#This Row],[Fecha de Inicio]],"dddd")</f>
        <v>viernes</v>
      </c>
      <c r="J148" s="2" t="str">
        <f>TEXT(tbSabana2016[[#This Row],[Fecha de Inicio]],"mmmm")</f>
        <v>mayo</v>
      </c>
      <c r="K148" s="37" t="s">
        <v>143</v>
      </c>
      <c r="L148" s="23">
        <v>26</v>
      </c>
      <c r="M148" s="38" t="s">
        <v>704</v>
      </c>
      <c r="N148" s="38" t="s">
        <v>705</v>
      </c>
      <c r="O148" s="96" t="s">
        <v>706</v>
      </c>
      <c r="P148" s="2"/>
      <c r="Q148" s="2">
        <v>18</v>
      </c>
      <c r="R148" s="104">
        <v>57</v>
      </c>
      <c r="S148" s="104">
        <v>44.04</v>
      </c>
      <c r="T148" s="104">
        <v>99</v>
      </c>
      <c r="U148" s="104">
        <v>0</v>
      </c>
      <c r="V148" s="104">
        <v>7.14</v>
      </c>
      <c r="W148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57' 44.04'' W 99° 00' 07.14''</v>
      </c>
      <c r="X148" s="2">
        <v>1800</v>
      </c>
      <c r="Y148" s="19">
        <v>0</v>
      </c>
      <c r="Z148" s="19">
        <v>0</v>
      </c>
      <c r="AA148" s="19">
        <v>23.14</v>
      </c>
      <c r="AB148" s="2">
        <v>40</v>
      </c>
      <c r="AC148" s="19">
        <v>30</v>
      </c>
      <c r="AD148" s="19">
        <v>0</v>
      </c>
      <c r="AE148" s="2">
        <f>SUM(tbSabana2016[[#This Row],[Arbolado Adulto (HA)]:[Suelo Orgánico (HA)]])</f>
        <v>93.14</v>
      </c>
      <c r="AF148" s="9">
        <f t="shared" si="98"/>
        <v>2938.85</v>
      </c>
      <c r="AG148" s="9">
        <f>tbSabana2016[[#This Row],[Acumulado (HA)]]/tbSabana2016[[#This Row],[Incendio en el AÑO]]</f>
        <v>20.408680555555556</v>
      </c>
      <c r="AH148" s="2" t="s">
        <v>147</v>
      </c>
      <c r="AI148" s="2" t="s">
        <v>283</v>
      </c>
      <c r="AJ148" s="2" t="s">
        <v>134</v>
      </c>
      <c r="AK148" s="2" t="s">
        <v>200</v>
      </c>
      <c r="AL148" s="2" t="s">
        <v>150</v>
      </c>
      <c r="AM148" s="2" t="s">
        <v>151</v>
      </c>
      <c r="AN148" s="32">
        <v>43595.559027777781</v>
      </c>
      <c r="AO148" s="32">
        <v>43595.5625</v>
      </c>
      <c r="AP148" s="32">
        <v>43595.569444444445</v>
      </c>
      <c r="AQ148" s="32">
        <v>43595.583333333336</v>
      </c>
      <c r="AR148" s="32">
        <v>43595.590277777781</v>
      </c>
      <c r="AS148" s="32">
        <v>43596.350694444445</v>
      </c>
      <c r="AT148" s="32">
        <v>43597.791666666664</v>
      </c>
      <c r="AU148" s="32">
        <v>43598.583333333336</v>
      </c>
      <c r="AV148" s="32">
        <v>43598.625</v>
      </c>
      <c r="AW148" s="40">
        <v>3.0243055555555554</v>
      </c>
      <c r="AX148" s="39">
        <v>3.472222222222222E-3</v>
      </c>
      <c r="AY148" s="39">
        <v>2.0833333333333332E-2</v>
      </c>
      <c r="AZ148" s="40">
        <f>SUM(tbSabana2016[[#This Row],[Duración]])</f>
        <v>3.0243055555555554</v>
      </c>
      <c r="BA148" s="2">
        <v>1</v>
      </c>
      <c r="BB148" s="2">
        <v>4</v>
      </c>
      <c r="BC148" s="2">
        <v>0</v>
      </c>
      <c r="BD148" s="2">
        <v>0</v>
      </c>
      <c r="BE148" s="2">
        <v>3</v>
      </c>
      <c r="BF148" s="2">
        <v>0</v>
      </c>
      <c r="BG148" s="2">
        <v>0</v>
      </c>
      <c r="BH148" s="2">
        <v>6</v>
      </c>
      <c r="BI148" s="2">
        <v>0</v>
      </c>
      <c r="BJ148" s="2" t="s">
        <v>707</v>
      </c>
      <c r="BK148" s="2">
        <v>0</v>
      </c>
      <c r="BL148" s="2">
        <v>1</v>
      </c>
      <c r="BM148" s="2">
        <v>1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 t="s">
        <v>708</v>
      </c>
      <c r="BT148" s="2">
        <v>23</v>
      </c>
      <c r="BU148" s="2">
        <v>0</v>
      </c>
      <c r="BV148" s="2">
        <v>64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20</v>
      </c>
      <c r="CE148" s="1">
        <v>0</v>
      </c>
      <c r="CF148" s="1">
        <v>12</v>
      </c>
      <c r="CG148" s="1">
        <v>22</v>
      </c>
      <c r="CH148" s="1">
        <v>10</v>
      </c>
      <c r="CI148" s="1">
        <v>0</v>
      </c>
      <c r="CJ148" s="1">
        <v>0</v>
      </c>
      <c r="CK148" s="2">
        <v>0</v>
      </c>
      <c r="CL148" s="2">
        <v>0</v>
      </c>
      <c r="CM148" s="1">
        <v>0</v>
      </c>
      <c r="CN148" s="93">
        <f t="shared" si="97"/>
        <v>151</v>
      </c>
      <c r="CO148" s="10">
        <f t="shared" ref="CO148:CO163" si="99">SUM(CO147,CN148)</f>
        <v>3417</v>
      </c>
      <c r="CP148" s="1">
        <f t="shared" si="93"/>
        <v>141</v>
      </c>
      <c r="CQ148" s="1">
        <f>SUM(tbSabana2016[[#This Row],[Voluntarios]])</f>
        <v>10</v>
      </c>
      <c r="CR148" s="1">
        <f>tbSabana2016[[#This Row],[CONAFOR (Oficiales)]]*383</f>
        <v>8809</v>
      </c>
      <c r="CS148" s="8">
        <f>(tbSabana2016[[#This Row],[Total (Oficiales)]]-tbSabana2016[[#This Row],[CONAFOR (Oficiales)]])*217</f>
        <v>27776</v>
      </c>
      <c r="CT148" s="94">
        <f>SUM(tbSabana2016[[#This Row],[Costo CONAFOR]:[Costo Otros]])</f>
        <v>36585</v>
      </c>
      <c r="CU148" s="8">
        <v>2850</v>
      </c>
      <c r="CV148" s="8">
        <f t="shared" si="94"/>
        <v>39435</v>
      </c>
      <c r="CW148" s="1" t="s">
        <v>154</v>
      </c>
      <c r="CX148" s="1" t="s">
        <v>154</v>
      </c>
      <c r="CY148" s="1" t="s">
        <v>154</v>
      </c>
      <c r="CZ148" s="2" t="s">
        <v>154</v>
      </c>
      <c r="DA148" s="1" t="s">
        <v>172</v>
      </c>
      <c r="DB148" s="1" t="s">
        <v>155</v>
      </c>
      <c r="DC148" s="2" t="s">
        <v>468</v>
      </c>
      <c r="DD148" s="1" t="s">
        <v>311</v>
      </c>
      <c r="DE148" s="2" t="s">
        <v>158</v>
      </c>
      <c r="DF148" s="2" t="s">
        <v>159</v>
      </c>
      <c r="DG148" s="2" t="s">
        <v>160</v>
      </c>
      <c r="DH148" s="2">
        <v>0</v>
      </c>
      <c r="DI148" s="2">
        <v>0</v>
      </c>
      <c r="DJ148" s="2">
        <v>22.55</v>
      </c>
      <c r="DK148" s="2">
        <v>40</v>
      </c>
      <c r="DL148" s="2">
        <v>30</v>
      </c>
      <c r="DM148" s="2">
        <v>0</v>
      </c>
      <c r="DN148" s="93">
        <f t="shared" si="95"/>
        <v>92.55</v>
      </c>
      <c r="DO148" s="95"/>
    </row>
    <row r="149" spans="1:119" s="1" customFormat="1" x14ac:dyDescent="0.25">
      <c r="A149" s="2" t="s">
        <v>688</v>
      </c>
      <c r="B149" s="2">
        <v>145</v>
      </c>
      <c r="C149" s="35">
        <v>43595</v>
      </c>
      <c r="D149" s="35">
        <v>43596</v>
      </c>
      <c r="E149" s="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49" s="2">
        <v>14</v>
      </c>
      <c r="G149" s="2">
        <v>1</v>
      </c>
      <c r="H149" s="47">
        <v>19</v>
      </c>
      <c r="I149" s="2" t="str">
        <f>TEXT(tbSabana2016[[#This Row],[Fecha de Inicio]],"dddd")</f>
        <v>viernes</v>
      </c>
      <c r="J149" s="2" t="str">
        <f>TEXT(tbSabana2016[[#This Row],[Fecha de Inicio]],"mmmm")</f>
        <v>mayo</v>
      </c>
      <c r="K149" s="37" t="s">
        <v>143</v>
      </c>
      <c r="L149" s="23">
        <v>26</v>
      </c>
      <c r="M149" s="38" t="s">
        <v>704</v>
      </c>
      <c r="N149" s="38" t="s">
        <v>704</v>
      </c>
      <c r="O149" s="96" t="s">
        <v>709</v>
      </c>
      <c r="P149" s="2"/>
      <c r="Q149" s="2">
        <v>18</v>
      </c>
      <c r="R149" s="104">
        <v>55</v>
      </c>
      <c r="S149" s="104">
        <v>51.71</v>
      </c>
      <c r="T149" s="104">
        <v>99</v>
      </c>
      <c r="U149" s="104">
        <v>0</v>
      </c>
      <c r="V149" s="104">
        <v>3.21</v>
      </c>
      <c r="W149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55' 51.71'' W 99° 00' 03.21''</v>
      </c>
      <c r="X149" s="2">
        <v>1318</v>
      </c>
      <c r="Y149" s="19">
        <v>0</v>
      </c>
      <c r="Z149" s="19">
        <v>0</v>
      </c>
      <c r="AA149" s="19">
        <v>5</v>
      </c>
      <c r="AB149" s="2">
        <v>1.37</v>
      </c>
      <c r="AC149" s="19">
        <v>0</v>
      </c>
      <c r="AD149" s="19">
        <v>0</v>
      </c>
      <c r="AE149" s="2">
        <f>SUM(tbSabana2016[[#This Row],[Arbolado Adulto (HA)]:[Suelo Orgánico (HA)]])</f>
        <v>6.37</v>
      </c>
      <c r="AF149" s="9">
        <f t="shared" si="98"/>
        <v>2945.22</v>
      </c>
      <c r="AG149" s="9">
        <f>tbSabana2016[[#This Row],[Acumulado (HA)]]/tbSabana2016[[#This Row],[Incendio en el AÑO]]</f>
        <v>20.311862068965517</v>
      </c>
      <c r="AH149" s="2" t="s">
        <v>147</v>
      </c>
      <c r="AI149" s="2" t="s">
        <v>283</v>
      </c>
      <c r="AJ149" s="2" t="s">
        <v>134</v>
      </c>
      <c r="AK149" s="2" t="s">
        <v>200</v>
      </c>
      <c r="AL149" s="2" t="s">
        <v>150</v>
      </c>
      <c r="AM149" s="2" t="s">
        <v>151</v>
      </c>
      <c r="AN149" s="32">
        <v>43595.628472222219</v>
      </c>
      <c r="AO149" s="32">
        <v>43595.631944444445</v>
      </c>
      <c r="AP149" s="32">
        <v>43595.638888888891</v>
      </c>
      <c r="AQ149" s="32">
        <v>43595.673611111109</v>
      </c>
      <c r="AR149" s="32">
        <v>43595.673611111109</v>
      </c>
      <c r="AS149" s="32"/>
      <c r="AT149" s="32">
        <v>43596.5</v>
      </c>
      <c r="AU149" s="32">
        <v>43596.5625</v>
      </c>
      <c r="AV149" s="32">
        <v>43596.597222222219</v>
      </c>
      <c r="AW149" s="39">
        <v>0.93402777777777779</v>
      </c>
      <c r="AX149" s="39">
        <v>3.472222222222222E-3</v>
      </c>
      <c r="AY149" s="39">
        <v>4.1666666666666664E-2</v>
      </c>
      <c r="AZ149" s="39">
        <f>SUM(tbSabana2016[[#This Row],[Duración]])</f>
        <v>0.93402777777777779</v>
      </c>
      <c r="BA149" s="2">
        <v>0.5</v>
      </c>
      <c r="BB149" s="2">
        <v>0.9</v>
      </c>
      <c r="BC149" s="2">
        <v>0</v>
      </c>
      <c r="BD149" s="2">
        <v>0</v>
      </c>
      <c r="BE149" s="2">
        <v>0.6</v>
      </c>
      <c r="BF149" s="2">
        <v>0</v>
      </c>
      <c r="BG149" s="2">
        <v>0</v>
      </c>
      <c r="BH149" s="2">
        <v>1.2</v>
      </c>
      <c r="BI149" s="2">
        <v>0</v>
      </c>
      <c r="BJ149" s="2" t="s">
        <v>622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 t="s">
        <v>710</v>
      </c>
      <c r="BT149" s="2">
        <v>0</v>
      </c>
      <c r="BU149" s="2">
        <v>0</v>
      </c>
      <c r="BV149" s="2">
        <v>9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23</v>
      </c>
      <c r="CE149" s="1">
        <v>0</v>
      </c>
      <c r="CF149" s="1">
        <v>0</v>
      </c>
      <c r="CG149" s="1">
        <v>2</v>
      </c>
      <c r="CH149" s="1">
        <v>0</v>
      </c>
      <c r="CI149" s="1">
        <v>0</v>
      </c>
      <c r="CJ149" s="1">
        <v>0</v>
      </c>
      <c r="CK149" s="2">
        <v>0</v>
      </c>
      <c r="CL149" s="2">
        <v>0</v>
      </c>
      <c r="CM149" s="1">
        <v>0</v>
      </c>
      <c r="CN149" s="93">
        <f t="shared" si="97"/>
        <v>34</v>
      </c>
      <c r="CO149" s="10">
        <f t="shared" si="99"/>
        <v>3451</v>
      </c>
      <c r="CP149" s="1">
        <f t="shared" si="93"/>
        <v>34</v>
      </c>
      <c r="CQ149" s="1">
        <f>SUM(tbSabana2016[[#This Row],[Voluntarios]])</f>
        <v>0</v>
      </c>
      <c r="CR149" s="1">
        <f>tbSabana2016[[#This Row],[CONAFOR (Oficiales)]]*383</f>
        <v>0</v>
      </c>
      <c r="CS149" s="8">
        <f>(tbSabana2016[[#This Row],[Total (Oficiales)]]-tbSabana2016[[#This Row],[CONAFOR (Oficiales)]])*217</f>
        <v>7378</v>
      </c>
      <c r="CT149" s="94">
        <f>SUM(tbSabana2016[[#This Row],[Costo CONAFOR]:[Costo Otros]])</f>
        <v>7378</v>
      </c>
      <c r="CU149" s="8">
        <v>551</v>
      </c>
      <c r="CV149" s="8">
        <f t="shared" si="94"/>
        <v>7929</v>
      </c>
      <c r="CW149" s="1" t="s">
        <v>154</v>
      </c>
      <c r="CX149" s="1" t="s">
        <v>154</v>
      </c>
      <c r="CY149" s="1" t="s">
        <v>154</v>
      </c>
      <c r="CZ149" s="2" t="s">
        <v>154</v>
      </c>
      <c r="DA149" s="1" t="s">
        <v>172</v>
      </c>
      <c r="DB149" s="1" t="s">
        <v>155</v>
      </c>
      <c r="DC149" s="2" t="s">
        <v>168</v>
      </c>
      <c r="DD149" s="1" t="s">
        <v>169</v>
      </c>
      <c r="DE149" s="2" t="s">
        <v>158</v>
      </c>
      <c r="DF149" s="2" t="s">
        <v>159</v>
      </c>
      <c r="DG149" s="2" t="s">
        <v>160</v>
      </c>
      <c r="DH149" s="2">
        <v>0</v>
      </c>
      <c r="DI149" s="2">
        <v>0</v>
      </c>
      <c r="DJ149" s="2">
        <v>1</v>
      </c>
      <c r="DK149" s="2">
        <v>0.87</v>
      </c>
      <c r="DL149" s="2">
        <v>0</v>
      </c>
      <c r="DM149" s="2">
        <v>0</v>
      </c>
      <c r="DN149" s="93">
        <f t="shared" si="95"/>
        <v>1.87</v>
      </c>
      <c r="DO149" s="95"/>
    </row>
    <row r="150" spans="1:119" s="1" customFormat="1" x14ac:dyDescent="0.25">
      <c r="A150" s="2" t="s">
        <v>689</v>
      </c>
      <c r="B150" s="2">
        <v>146</v>
      </c>
      <c r="C150" s="35">
        <v>43595</v>
      </c>
      <c r="D150" s="35">
        <v>43596</v>
      </c>
      <c r="E150" s="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50" s="2">
        <v>15</v>
      </c>
      <c r="G150" s="2">
        <v>1</v>
      </c>
      <c r="H150" s="47">
        <v>19</v>
      </c>
      <c r="I150" s="2" t="str">
        <f>TEXT(tbSabana2016[[#This Row],[Fecha de Inicio]],"dddd")</f>
        <v>viernes</v>
      </c>
      <c r="J150" s="2" t="str">
        <f>TEXT(tbSabana2016[[#This Row],[Fecha de Inicio]],"mmmm")</f>
        <v>mayo</v>
      </c>
      <c r="K150" s="37" t="s">
        <v>143</v>
      </c>
      <c r="L150" s="23">
        <v>20</v>
      </c>
      <c r="M150" s="38" t="s">
        <v>162</v>
      </c>
      <c r="N150" s="38" t="s">
        <v>711</v>
      </c>
      <c r="O150" s="96" t="s">
        <v>712</v>
      </c>
      <c r="P150" s="2"/>
      <c r="Q150" s="2">
        <v>18</v>
      </c>
      <c r="R150" s="104">
        <v>59</v>
      </c>
      <c r="S150" s="104">
        <v>59.82</v>
      </c>
      <c r="T150" s="104">
        <v>99</v>
      </c>
      <c r="U150" s="104">
        <v>3</v>
      </c>
      <c r="V150" s="104">
        <v>7.28</v>
      </c>
      <c r="W150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59.82'' W 99° 03' 07.28''</v>
      </c>
      <c r="X150" s="2">
        <v>1926</v>
      </c>
      <c r="Y150" s="19">
        <v>0</v>
      </c>
      <c r="Z150" s="19">
        <v>0</v>
      </c>
      <c r="AA150" s="19">
        <v>3</v>
      </c>
      <c r="AB150" s="2">
        <v>8</v>
      </c>
      <c r="AC150" s="19">
        <v>6.75</v>
      </c>
      <c r="AD150" s="19">
        <v>0</v>
      </c>
      <c r="AE150" s="2">
        <f>SUM(tbSabana2016[[#This Row],[Arbolado Adulto (HA)]:[Suelo Orgánico (HA)]])</f>
        <v>17.75</v>
      </c>
      <c r="AF150" s="9">
        <f t="shared" si="98"/>
        <v>2962.97</v>
      </c>
      <c r="AG150" s="9">
        <f>tbSabana2016[[#This Row],[Acumulado (HA)]]/tbSabana2016[[#This Row],[Incendio en el AÑO]]</f>
        <v>20.294315068493148</v>
      </c>
      <c r="AH150" s="2" t="s">
        <v>147</v>
      </c>
      <c r="AI150" s="2" t="s">
        <v>283</v>
      </c>
      <c r="AJ150" s="2" t="s">
        <v>134</v>
      </c>
      <c r="AK150" s="2" t="s">
        <v>200</v>
      </c>
      <c r="AL150" s="2" t="s">
        <v>150</v>
      </c>
      <c r="AM150" s="2" t="s">
        <v>151</v>
      </c>
      <c r="AN150" s="32">
        <v>43595.697916666664</v>
      </c>
      <c r="AO150" s="32">
        <v>43595.701388888891</v>
      </c>
      <c r="AP150" s="32">
        <v>43595.708333333336</v>
      </c>
      <c r="AQ150" s="32">
        <v>43595.730555555558</v>
      </c>
      <c r="AR150" s="32">
        <v>43595.732638888891</v>
      </c>
      <c r="AS150" s="32"/>
      <c r="AT150" s="32">
        <v>43596.625</v>
      </c>
      <c r="AU150" s="32">
        <v>43596.791666666664</v>
      </c>
      <c r="AV150" s="32">
        <v>43596.833333333336</v>
      </c>
      <c r="AW150" s="39">
        <v>1.09375</v>
      </c>
      <c r="AX150" s="39">
        <v>3.472222222222222E-3</v>
      </c>
      <c r="AY150" s="39">
        <v>2.9166666666666664E-2</v>
      </c>
      <c r="AZ150" s="39">
        <f>SUM(tbSabana2016[[#This Row],[Duración]])</f>
        <v>1.09375</v>
      </c>
      <c r="BA150" s="2">
        <v>2</v>
      </c>
      <c r="BB150" s="2">
        <v>3</v>
      </c>
      <c r="BC150" s="2">
        <v>0</v>
      </c>
      <c r="BD150" s="2">
        <v>0</v>
      </c>
      <c r="BE150" s="2">
        <v>1.5</v>
      </c>
      <c r="BF150" s="2">
        <v>0</v>
      </c>
      <c r="BG150" s="2">
        <v>0</v>
      </c>
      <c r="BH150" s="2">
        <v>4</v>
      </c>
      <c r="BI150" s="2">
        <v>0</v>
      </c>
      <c r="BJ150" s="2" t="s">
        <v>622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 t="s">
        <v>713</v>
      </c>
      <c r="BT150" s="2">
        <v>0</v>
      </c>
      <c r="BU150" s="2">
        <v>0</v>
      </c>
      <c r="BV150" s="2">
        <v>19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12</v>
      </c>
      <c r="CE150" s="1">
        <v>0</v>
      </c>
      <c r="CF150" s="1">
        <v>0</v>
      </c>
      <c r="CG150" s="1">
        <v>5</v>
      </c>
      <c r="CH150" s="1">
        <v>0</v>
      </c>
      <c r="CI150" s="1">
        <v>0</v>
      </c>
      <c r="CJ150" s="1">
        <v>0</v>
      </c>
      <c r="CK150" s="2">
        <v>0</v>
      </c>
      <c r="CL150" s="2">
        <v>0</v>
      </c>
      <c r="CM150" s="1">
        <v>0</v>
      </c>
      <c r="CN150" s="93">
        <f t="shared" si="97"/>
        <v>36</v>
      </c>
      <c r="CO150" s="10">
        <f t="shared" si="99"/>
        <v>3487</v>
      </c>
      <c r="CP150" s="1">
        <f t="shared" si="93"/>
        <v>36</v>
      </c>
      <c r="CQ150" s="1">
        <f>SUM(tbSabana2016[[#This Row],[Voluntarios]])</f>
        <v>0</v>
      </c>
      <c r="CR150" s="1">
        <f>tbSabana2016[[#This Row],[CONAFOR (Oficiales)]]*383</f>
        <v>0</v>
      </c>
      <c r="CS150" s="8">
        <f>(tbSabana2016[[#This Row],[Total (Oficiales)]]-tbSabana2016[[#This Row],[CONAFOR (Oficiales)]])*217</f>
        <v>7812</v>
      </c>
      <c r="CT150" s="94">
        <f>SUM(tbSabana2016[[#This Row],[Costo CONAFOR]:[Costo Otros]])</f>
        <v>7812</v>
      </c>
      <c r="CU150" s="8">
        <v>1064</v>
      </c>
      <c r="CV150" s="8">
        <f t="shared" si="94"/>
        <v>8876</v>
      </c>
      <c r="CW150" s="1" t="s">
        <v>154</v>
      </c>
      <c r="CX150" s="1" t="s">
        <v>154</v>
      </c>
      <c r="CY150" s="1" t="s">
        <v>154</v>
      </c>
      <c r="CZ150" s="2" t="s">
        <v>154</v>
      </c>
      <c r="DA150" s="1" t="s">
        <v>172</v>
      </c>
      <c r="DB150" s="1" t="s">
        <v>155</v>
      </c>
      <c r="DC150" s="2" t="s">
        <v>468</v>
      </c>
      <c r="DD150" s="1" t="s">
        <v>311</v>
      </c>
      <c r="DE150" s="2" t="s">
        <v>170</v>
      </c>
      <c r="DF150" s="2" t="s">
        <v>159</v>
      </c>
      <c r="DG150" s="2" t="s">
        <v>475</v>
      </c>
      <c r="DH150" s="2">
        <v>0</v>
      </c>
      <c r="DI150" s="2">
        <v>0</v>
      </c>
      <c r="DJ150" s="2">
        <v>3</v>
      </c>
      <c r="DK150" s="2">
        <v>8</v>
      </c>
      <c r="DL150" s="2">
        <v>6.75</v>
      </c>
      <c r="DM150" s="2">
        <v>0</v>
      </c>
      <c r="DN150" s="93">
        <f t="shared" si="95"/>
        <v>17.75</v>
      </c>
      <c r="DO150" s="95"/>
    </row>
    <row r="151" spans="1:119" s="1" customFormat="1" x14ac:dyDescent="0.25">
      <c r="A151" s="2" t="s">
        <v>690</v>
      </c>
      <c r="B151" s="2">
        <v>147</v>
      </c>
      <c r="C151" s="35">
        <v>43596</v>
      </c>
      <c r="D151" s="35">
        <v>43596</v>
      </c>
      <c r="E151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51" s="2">
        <v>16</v>
      </c>
      <c r="G151" s="2">
        <v>1</v>
      </c>
      <c r="H151" s="47">
        <v>19</v>
      </c>
      <c r="I151" s="2" t="str">
        <f>TEXT(tbSabana2016[[#This Row],[Fecha de Inicio]],"dddd")</f>
        <v>sábado</v>
      </c>
      <c r="J151" s="2" t="str">
        <f>TEXT(tbSabana2016[[#This Row],[Fecha de Inicio]],"mmmm")</f>
        <v>mayo</v>
      </c>
      <c r="K151" s="37" t="s">
        <v>143</v>
      </c>
      <c r="L151" s="23">
        <v>7</v>
      </c>
      <c r="M151" s="38" t="s">
        <v>405</v>
      </c>
      <c r="N151" s="38" t="s">
        <v>691</v>
      </c>
      <c r="O151" s="96" t="s">
        <v>692</v>
      </c>
      <c r="P151" s="2" t="s">
        <v>249</v>
      </c>
      <c r="Q151" s="2">
        <v>18</v>
      </c>
      <c r="R151" s="104">
        <v>58</v>
      </c>
      <c r="S151" s="104">
        <v>54.83</v>
      </c>
      <c r="T151" s="104">
        <v>99</v>
      </c>
      <c r="U151" s="104">
        <v>13</v>
      </c>
      <c r="V151" s="104">
        <v>44.36</v>
      </c>
      <c r="W151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58' 54.83'' W 99° 13' 44.36''</v>
      </c>
      <c r="X151" s="2">
        <v>1879</v>
      </c>
      <c r="Y151" s="19">
        <v>0</v>
      </c>
      <c r="Z151" s="19">
        <v>0</v>
      </c>
      <c r="AA151" s="19">
        <v>1</v>
      </c>
      <c r="AB151" s="2">
        <v>0.78</v>
      </c>
      <c r="AC151" s="19">
        <v>0</v>
      </c>
      <c r="AD151" s="19">
        <v>0</v>
      </c>
      <c r="AE151" s="2">
        <f>SUM(tbSabana2016[[#This Row],[Arbolado Adulto (HA)]:[Suelo Orgánico (HA)]])</f>
        <v>1.78</v>
      </c>
      <c r="AF151" s="9">
        <f t="shared" si="98"/>
        <v>2964.75</v>
      </c>
      <c r="AG151" s="9">
        <f>tbSabana2016[[#This Row],[Acumulado (HA)]]/tbSabana2016[[#This Row],[Incendio en el AÑO]]</f>
        <v>20.168367346938776</v>
      </c>
      <c r="AH151" s="2" t="s">
        <v>147</v>
      </c>
      <c r="AI151" s="2" t="s">
        <v>165</v>
      </c>
      <c r="AJ151" s="2" t="s">
        <v>416</v>
      </c>
      <c r="AK151" s="2" t="s">
        <v>166</v>
      </c>
      <c r="AL151" s="2" t="s">
        <v>150</v>
      </c>
      <c r="AM151" s="2" t="s">
        <v>151</v>
      </c>
      <c r="AN151" s="32">
        <v>43596.395833333336</v>
      </c>
      <c r="AO151" s="32">
        <v>43596.402777777781</v>
      </c>
      <c r="AP151" s="32" t="s">
        <v>693</v>
      </c>
      <c r="AQ151" s="32">
        <v>43596.4375</v>
      </c>
      <c r="AR151" s="32">
        <v>43596.444444444445</v>
      </c>
      <c r="AS151" s="32"/>
      <c r="AT151" s="32">
        <v>43596.5</v>
      </c>
      <c r="AU151" s="32">
        <v>43596.538194444445</v>
      </c>
      <c r="AV151" s="32">
        <v>43596.576388888891</v>
      </c>
      <c r="AW151" s="39">
        <v>0.1423611111111111</v>
      </c>
      <c r="AX151" s="39">
        <v>6.9444444444444441E-3</v>
      </c>
      <c r="AY151" s="39">
        <v>3.4722222222222224E-2</v>
      </c>
      <c r="AZ151" s="39">
        <f>SUM(tbSabana2016[[#This Row],[Duración]])</f>
        <v>0.1423611111111111</v>
      </c>
      <c r="BA151" s="2">
        <v>0.3</v>
      </c>
      <c r="BB151" s="2">
        <v>0.2</v>
      </c>
      <c r="BC151" s="2">
        <v>0.1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 t="s">
        <v>640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 t="s">
        <v>694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12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2">
        <v>0</v>
      </c>
      <c r="CL151" s="2">
        <v>0</v>
      </c>
      <c r="CM151" s="1">
        <v>0</v>
      </c>
      <c r="CN151" s="93">
        <f t="shared" si="97"/>
        <v>12</v>
      </c>
      <c r="CO151" s="10">
        <f t="shared" si="99"/>
        <v>3499</v>
      </c>
      <c r="CP151" s="1">
        <f t="shared" si="93"/>
        <v>12</v>
      </c>
      <c r="CQ151" s="1">
        <f>SUM(tbSabana2016[[#This Row],[Voluntarios]])</f>
        <v>0</v>
      </c>
      <c r="CR151" s="1">
        <f>tbSabana2016[[#This Row],[CONAFOR (Oficiales)]]*383</f>
        <v>0</v>
      </c>
      <c r="CS151" s="8">
        <f>(tbSabana2016[[#This Row],[Total (Oficiales)]]-tbSabana2016[[#This Row],[CONAFOR (Oficiales)]])*217</f>
        <v>2604</v>
      </c>
      <c r="CT151" s="94">
        <f>SUM(tbSabana2016[[#This Row],[Costo CONAFOR]:[Costo Otros]])</f>
        <v>2604</v>
      </c>
      <c r="CU151" s="8">
        <v>228</v>
      </c>
      <c r="CV151" s="8">
        <f t="shared" si="94"/>
        <v>2832</v>
      </c>
      <c r="CW151" s="1" t="s">
        <v>154</v>
      </c>
      <c r="CX151" s="1" t="s">
        <v>154</v>
      </c>
      <c r="CY151" s="1" t="s">
        <v>154</v>
      </c>
      <c r="CZ151" s="2" t="s">
        <v>154</v>
      </c>
      <c r="DA151" s="1" t="s">
        <v>172</v>
      </c>
      <c r="DB151" s="1" t="s">
        <v>155</v>
      </c>
      <c r="DC151" s="2" t="s">
        <v>468</v>
      </c>
      <c r="DD151" s="1" t="s">
        <v>311</v>
      </c>
      <c r="DE151" s="2" t="s">
        <v>158</v>
      </c>
      <c r="DF151" s="2" t="s">
        <v>159</v>
      </c>
      <c r="DG151" s="2" t="s">
        <v>160</v>
      </c>
      <c r="DH151" s="2">
        <v>0</v>
      </c>
      <c r="DI151" s="2">
        <v>0</v>
      </c>
      <c r="DJ151" s="2">
        <v>1</v>
      </c>
      <c r="DK151" s="2">
        <v>0.52</v>
      </c>
      <c r="DL151" s="2">
        <v>0</v>
      </c>
      <c r="DM151" s="2">
        <v>0</v>
      </c>
      <c r="DN151" s="93">
        <f t="shared" si="95"/>
        <v>1.52</v>
      </c>
      <c r="DO151" s="95"/>
    </row>
    <row r="152" spans="1:119" s="1" customFormat="1" x14ac:dyDescent="0.25">
      <c r="A152" s="2" t="s">
        <v>714</v>
      </c>
      <c r="B152" s="2">
        <v>148</v>
      </c>
      <c r="C152" s="35">
        <v>43596</v>
      </c>
      <c r="D152" s="35">
        <v>43596</v>
      </c>
      <c r="E152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52" s="2">
        <v>17</v>
      </c>
      <c r="G152" s="2">
        <v>1</v>
      </c>
      <c r="H152" s="47">
        <v>19</v>
      </c>
      <c r="I152" s="2" t="str">
        <f>TEXT(tbSabana2016[[#This Row],[Fecha de Inicio]],"dddd")</f>
        <v>sábado</v>
      </c>
      <c r="J152" s="2" t="str">
        <f>TEXT(tbSabana2016[[#This Row],[Fecha de Inicio]],"mmmm")</f>
        <v>mayo</v>
      </c>
      <c r="K152" s="37" t="s">
        <v>143</v>
      </c>
      <c r="L152" s="23">
        <v>9</v>
      </c>
      <c r="M152" s="38" t="s">
        <v>144</v>
      </c>
      <c r="N152" s="38" t="s">
        <v>477</v>
      </c>
      <c r="O152" s="96" t="s">
        <v>715</v>
      </c>
      <c r="P152" s="2" t="s">
        <v>146</v>
      </c>
      <c r="Q152" s="2">
        <v>19</v>
      </c>
      <c r="R152" s="104">
        <v>3</v>
      </c>
      <c r="S152" s="104">
        <v>36.479999999999997</v>
      </c>
      <c r="T152" s="104">
        <v>99</v>
      </c>
      <c r="U152" s="104">
        <v>11</v>
      </c>
      <c r="V152" s="104">
        <v>24.64</v>
      </c>
      <c r="W152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36.48'' W 99° 11' 24.64''</v>
      </c>
      <c r="X152" s="2">
        <v>2900</v>
      </c>
      <c r="Y152" s="19">
        <v>0</v>
      </c>
      <c r="Z152" s="19">
        <v>0</v>
      </c>
      <c r="AA152" s="19">
        <v>1</v>
      </c>
      <c r="AB152" s="2">
        <v>0.88</v>
      </c>
      <c r="AC152" s="19">
        <v>0</v>
      </c>
      <c r="AD152" s="19">
        <v>0</v>
      </c>
      <c r="AE152" s="2">
        <f>SUM(tbSabana2016[[#This Row],[Arbolado Adulto (HA)]:[Suelo Orgánico (HA)]])</f>
        <v>1.88</v>
      </c>
      <c r="AF152" s="9">
        <f t="shared" ref="AF152:AF158" si="100">SUM(AF151,AE152)</f>
        <v>2966.63</v>
      </c>
      <c r="AG152" s="9">
        <f>tbSabana2016[[#This Row],[Acumulado (HA)]]/tbSabana2016[[#This Row],[Incendio en el AÑO]]</f>
        <v>20.044797297297297</v>
      </c>
      <c r="AH152" s="2" t="s">
        <v>147</v>
      </c>
      <c r="AI152" s="2" t="s">
        <v>283</v>
      </c>
      <c r="AJ152" s="2" t="s">
        <v>139</v>
      </c>
      <c r="AK152" s="2" t="s">
        <v>166</v>
      </c>
      <c r="AL152" s="2" t="s">
        <v>150</v>
      </c>
      <c r="AM152" s="2" t="s">
        <v>151</v>
      </c>
      <c r="AN152" s="32">
        <v>43596.451388888891</v>
      </c>
      <c r="AO152" s="32">
        <v>43596.454861111109</v>
      </c>
      <c r="AP152" s="32">
        <v>43596.458333333336</v>
      </c>
      <c r="AQ152" s="32">
        <v>43596.479166666664</v>
      </c>
      <c r="AR152" s="32" t="s">
        <v>716</v>
      </c>
      <c r="AS152" s="32"/>
      <c r="AT152" s="32">
        <v>43596.625</v>
      </c>
      <c r="AU152" s="32">
        <v>43596.666666666664</v>
      </c>
      <c r="AV152" s="32">
        <v>43596.6875</v>
      </c>
      <c r="AW152" s="39">
        <v>0.21527777777777779</v>
      </c>
      <c r="AX152" s="39">
        <v>3.472222222222222E-3</v>
      </c>
      <c r="AY152" s="39">
        <v>2.4305555555555556E-2</v>
      </c>
      <c r="AZ152" s="39">
        <f>SUM(tbSabana2016[[#This Row],[Duración]])</f>
        <v>0.21527777777777779</v>
      </c>
      <c r="BA152" s="2">
        <v>0.1</v>
      </c>
      <c r="BB152" s="2">
        <v>0.4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0.5</v>
      </c>
      <c r="BI152" s="2">
        <v>0</v>
      </c>
      <c r="BJ152" s="2" t="s">
        <v>717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 t="s">
        <v>718</v>
      </c>
      <c r="BT152" s="2">
        <v>0</v>
      </c>
      <c r="BU152" s="2">
        <v>0</v>
      </c>
      <c r="BV152" s="2">
        <v>9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1">
        <v>0</v>
      </c>
      <c r="CF152" s="1">
        <v>0</v>
      </c>
      <c r="CG152" s="1">
        <v>0</v>
      </c>
      <c r="CH152" s="1">
        <v>0</v>
      </c>
      <c r="CI152" s="1">
        <v>0</v>
      </c>
      <c r="CJ152" s="1">
        <v>0</v>
      </c>
      <c r="CK152" s="2">
        <v>0</v>
      </c>
      <c r="CL152" s="2">
        <v>0</v>
      </c>
      <c r="CM152" s="1">
        <v>0</v>
      </c>
      <c r="CN152" s="93">
        <f t="shared" ref="CN152:CN159" si="101">SUM(BT152:CM152)</f>
        <v>9</v>
      </c>
      <c r="CO152" s="10">
        <f t="shared" si="99"/>
        <v>3508</v>
      </c>
      <c r="CP152" s="1">
        <f t="shared" ref="CP152:CP159" si="102">SUM(BT152:CG152,CI152:CM152)</f>
        <v>9</v>
      </c>
      <c r="CQ152" s="1">
        <f>SUM(tbSabana2016[[#This Row],[Voluntarios]])</f>
        <v>0</v>
      </c>
      <c r="CR152" s="1">
        <f>tbSabana2016[[#This Row],[CONAFOR (Oficiales)]]*383</f>
        <v>0</v>
      </c>
      <c r="CS152" s="8">
        <f>(tbSabana2016[[#This Row],[Total (Oficiales)]]-tbSabana2016[[#This Row],[CONAFOR (Oficiales)]])*217</f>
        <v>1953</v>
      </c>
      <c r="CT152" s="94">
        <f>SUM(tbSabana2016[[#This Row],[Costo CONAFOR]:[Costo Otros]])</f>
        <v>1953</v>
      </c>
      <c r="CU152" s="8">
        <v>95</v>
      </c>
      <c r="CV152" s="8">
        <f t="shared" ref="CV152:CV159" si="103">SUM(CT152:CU152)</f>
        <v>2048</v>
      </c>
      <c r="CW152" s="1" t="s">
        <v>154</v>
      </c>
      <c r="CX152" s="1" t="s">
        <v>154</v>
      </c>
      <c r="CY152" s="1" t="s">
        <v>154</v>
      </c>
      <c r="CZ152" s="2" t="s">
        <v>154</v>
      </c>
      <c r="DA152" s="1" t="s">
        <v>172</v>
      </c>
      <c r="DB152" s="1" t="s">
        <v>155</v>
      </c>
      <c r="DC152" s="25" t="s">
        <v>362</v>
      </c>
      <c r="DD152" s="1" t="s">
        <v>370</v>
      </c>
      <c r="DE152" s="2" t="s">
        <v>158</v>
      </c>
      <c r="DF152" s="2" t="s">
        <v>159</v>
      </c>
      <c r="DG152" s="2" t="s">
        <v>160</v>
      </c>
      <c r="DH152" s="2">
        <v>0</v>
      </c>
      <c r="DI152" s="2">
        <v>0</v>
      </c>
      <c r="DJ152" s="2">
        <v>1</v>
      </c>
      <c r="DK152" s="2">
        <v>0.88</v>
      </c>
      <c r="DL152" s="2">
        <v>0</v>
      </c>
      <c r="DM152" s="2">
        <v>0</v>
      </c>
      <c r="DN152" s="93">
        <f t="shared" ref="DN152:DN159" si="104">SUM(DH152:DM152)</f>
        <v>1.88</v>
      </c>
      <c r="DO152" s="95"/>
    </row>
    <row r="153" spans="1:119" s="1" customFormat="1" x14ac:dyDescent="0.25">
      <c r="A153" s="2" t="s">
        <v>719</v>
      </c>
      <c r="B153" s="2">
        <v>149</v>
      </c>
      <c r="C153" s="35">
        <v>43597</v>
      </c>
      <c r="D153" s="35">
        <v>43597</v>
      </c>
      <c r="E153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53" s="2">
        <v>18</v>
      </c>
      <c r="G153" s="2">
        <v>1</v>
      </c>
      <c r="H153" s="47">
        <v>20</v>
      </c>
      <c r="I153" s="2" t="str">
        <f>TEXT(tbSabana2016[[#This Row],[Fecha de Inicio]],"dddd")</f>
        <v>domingo</v>
      </c>
      <c r="J153" s="2" t="str">
        <f>TEXT(tbSabana2016[[#This Row],[Fecha de Inicio]],"mmmm")</f>
        <v>mayo</v>
      </c>
      <c r="K153" s="37" t="s">
        <v>143</v>
      </c>
      <c r="L153" s="23">
        <v>20</v>
      </c>
      <c r="M153" s="38" t="s">
        <v>162</v>
      </c>
      <c r="N153" s="38" t="s">
        <v>163</v>
      </c>
      <c r="O153" s="96" t="s">
        <v>720</v>
      </c>
      <c r="P153" s="2" t="s">
        <v>721</v>
      </c>
      <c r="Q153" s="2">
        <v>19</v>
      </c>
      <c r="R153" s="104">
        <v>0</v>
      </c>
      <c r="S153" s="104">
        <v>32.04</v>
      </c>
      <c r="T153" s="104">
        <v>99</v>
      </c>
      <c r="U153" s="104">
        <v>10</v>
      </c>
      <c r="V153" s="104">
        <v>3</v>
      </c>
      <c r="W153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32.04'' W 99° 10' 03.00''</v>
      </c>
      <c r="X153" s="2">
        <v>2109</v>
      </c>
      <c r="Y153" s="19">
        <v>0</v>
      </c>
      <c r="Z153" s="19">
        <v>0</v>
      </c>
      <c r="AA153" s="19">
        <v>1.65</v>
      </c>
      <c r="AB153" s="2">
        <v>2</v>
      </c>
      <c r="AC153" s="19">
        <v>0</v>
      </c>
      <c r="AD153" s="19">
        <v>0</v>
      </c>
      <c r="AE153" s="2">
        <f>SUM(tbSabana2016[[#This Row],[Arbolado Adulto (HA)]:[Suelo Orgánico (HA)]])</f>
        <v>3.65</v>
      </c>
      <c r="AF153" s="9">
        <f t="shared" si="100"/>
        <v>2970.28</v>
      </c>
      <c r="AG153" s="9">
        <f>tbSabana2016[[#This Row],[Acumulado (HA)]]/tbSabana2016[[#This Row],[Incendio en el AÑO]]</f>
        <v>19.934765100671143</v>
      </c>
      <c r="AH153" s="2" t="s">
        <v>147</v>
      </c>
      <c r="AI153" s="2" t="s">
        <v>165</v>
      </c>
      <c r="AJ153" s="2" t="s">
        <v>416</v>
      </c>
      <c r="AK153" s="2" t="s">
        <v>166</v>
      </c>
      <c r="AL153" s="2" t="s">
        <v>150</v>
      </c>
      <c r="AM153" s="2" t="s">
        <v>151</v>
      </c>
      <c r="AN153" s="32">
        <v>43597.381944444445</v>
      </c>
      <c r="AO153" s="32">
        <v>43597.385416666664</v>
      </c>
      <c r="AP153" s="32">
        <v>43597.388888888891</v>
      </c>
      <c r="AQ153" s="32">
        <v>43597.416666666664</v>
      </c>
      <c r="AR153" s="32">
        <v>43597.416666666664</v>
      </c>
      <c r="AS153" s="32"/>
      <c r="AT153" s="32">
        <v>43597.666666666664</v>
      </c>
      <c r="AU153" s="32">
        <v>43597.708333333336</v>
      </c>
      <c r="AV153" s="32">
        <v>43597.736111111109</v>
      </c>
      <c r="AW153" s="39">
        <v>0.3263888888888889</v>
      </c>
      <c r="AX153" s="39">
        <v>3.472222222222222E-3</v>
      </c>
      <c r="AY153" s="39">
        <v>3.125E-2</v>
      </c>
      <c r="AZ153" s="39">
        <f>SUM(tbSabana2016[[#This Row],[Duración]])</f>
        <v>0.3263888888888889</v>
      </c>
      <c r="BA153" s="2">
        <v>0.2</v>
      </c>
      <c r="BB153" s="2">
        <v>0.1</v>
      </c>
      <c r="BC153" s="2">
        <v>0</v>
      </c>
      <c r="BD153" s="2">
        <v>0</v>
      </c>
      <c r="BE153" s="2">
        <v>0.3</v>
      </c>
      <c r="BF153" s="2">
        <v>0</v>
      </c>
      <c r="BG153" s="2">
        <v>0</v>
      </c>
      <c r="BH153" s="2">
        <v>0.5</v>
      </c>
      <c r="BI153" s="2">
        <v>0</v>
      </c>
      <c r="BJ153" s="2" t="s">
        <v>622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 t="s">
        <v>722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8</v>
      </c>
      <c r="BZ153" s="2">
        <v>0</v>
      </c>
      <c r="CA153" s="2">
        <v>0</v>
      </c>
      <c r="CB153" s="2">
        <v>0</v>
      </c>
      <c r="CC153" s="2">
        <v>0</v>
      </c>
      <c r="CD153" s="2">
        <v>12</v>
      </c>
      <c r="CE153" s="1">
        <v>0</v>
      </c>
      <c r="CF153" s="1">
        <v>0</v>
      </c>
      <c r="CG153" s="1">
        <v>0</v>
      </c>
      <c r="CH153" s="1">
        <v>0</v>
      </c>
      <c r="CI153" s="1">
        <v>0</v>
      </c>
      <c r="CJ153" s="1">
        <v>0</v>
      </c>
      <c r="CK153" s="2">
        <v>0</v>
      </c>
      <c r="CL153" s="2">
        <v>0</v>
      </c>
      <c r="CM153" s="1">
        <v>0</v>
      </c>
      <c r="CN153" s="93">
        <f t="shared" si="101"/>
        <v>20</v>
      </c>
      <c r="CO153" s="10">
        <f t="shared" si="99"/>
        <v>3528</v>
      </c>
      <c r="CP153" s="1">
        <f t="shared" si="102"/>
        <v>20</v>
      </c>
      <c r="CQ153" s="1">
        <f>SUM(tbSabana2016[[#This Row],[Voluntarios]])</f>
        <v>0</v>
      </c>
      <c r="CR153" s="1">
        <f>tbSabana2016[[#This Row],[CONAFOR (Oficiales)]]*383</f>
        <v>0</v>
      </c>
      <c r="CS153" s="8">
        <f>(tbSabana2016[[#This Row],[Total (Oficiales)]]-tbSabana2016[[#This Row],[CONAFOR (Oficiales)]])*217</f>
        <v>4340</v>
      </c>
      <c r="CT153" s="94">
        <f>SUM(tbSabana2016[[#This Row],[Costo CONAFOR]:[Costo Otros]])</f>
        <v>4340</v>
      </c>
      <c r="CU153" s="8">
        <v>380</v>
      </c>
      <c r="CV153" s="8">
        <f t="shared" si="103"/>
        <v>4720</v>
      </c>
      <c r="CW153" s="1" t="s">
        <v>154</v>
      </c>
      <c r="CX153" s="1" t="s">
        <v>154</v>
      </c>
      <c r="CY153" s="1" t="s">
        <v>154</v>
      </c>
      <c r="CZ153" s="2" t="s">
        <v>154</v>
      </c>
      <c r="DA153" s="1" t="s">
        <v>172</v>
      </c>
      <c r="DB153" s="1" t="s">
        <v>155</v>
      </c>
      <c r="DC153" s="2" t="s">
        <v>468</v>
      </c>
      <c r="DD153" s="1" t="s">
        <v>311</v>
      </c>
      <c r="DE153" s="2" t="s">
        <v>170</v>
      </c>
      <c r="DF153" s="2" t="s">
        <v>159</v>
      </c>
      <c r="DG153" s="2" t="s">
        <v>475</v>
      </c>
      <c r="DH153" s="2">
        <v>0</v>
      </c>
      <c r="DI153" s="2">
        <v>0</v>
      </c>
      <c r="DJ153" s="2">
        <v>1.65</v>
      </c>
      <c r="DK153" s="2">
        <v>2</v>
      </c>
      <c r="DL153" s="2">
        <v>0</v>
      </c>
      <c r="DM153" s="2">
        <v>0</v>
      </c>
      <c r="DN153" s="93">
        <f t="shared" si="104"/>
        <v>3.65</v>
      </c>
      <c r="DO153" s="95"/>
    </row>
    <row r="154" spans="1:119" s="1" customFormat="1" x14ac:dyDescent="0.25">
      <c r="A154" s="2" t="s">
        <v>723</v>
      </c>
      <c r="B154" s="2">
        <v>150</v>
      </c>
      <c r="C154" s="35">
        <v>43596</v>
      </c>
      <c r="D154" s="35">
        <v>43602</v>
      </c>
      <c r="E154" s="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54" s="2">
        <v>19</v>
      </c>
      <c r="G154" s="2">
        <v>1</v>
      </c>
      <c r="H154" s="47">
        <v>20</v>
      </c>
      <c r="I154" s="2" t="str">
        <f>TEXT(tbSabana2016[[#This Row],[Fecha de Inicio]],"dddd")</f>
        <v>sábado</v>
      </c>
      <c r="J154" s="2" t="str">
        <f>TEXT(tbSabana2016[[#This Row],[Fecha de Inicio]],"mmmm")</f>
        <v>mayo</v>
      </c>
      <c r="K154" s="37" t="s">
        <v>143</v>
      </c>
      <c r="L154" s="23"/>
      <c r="M154" s="38" t="s">
        <v>462</v>
      </c>
      <c r="N154" s="38" t="s">
        <v>756</v>
      </c>
      <c r="O154" s="96" t="s">
        <v>757</v>
      </c>
      <c r="P154" s="2"/>
      <c r="Q154" s="2">
        <v>18</v>
      </c>
      <c r="R154" s="104">
        <v>53</v>
      </c>
      <c r="S154" s="104">
        <v>16.399999999999999</v>
      </c>
      <c r="T154" s="104">
        <v>99</v>
      </c>
      <c r="U154" s="104">
        <v>24</v>
      </c>
      <c r="V154" s="104">
        <v>30.67</v>
      </c>
      <c r="W154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53' 16.40'' W 99° 24' 30.67''</v>
      </c>
      <c r="X154" s="2">
        <v>1954</v>
      </c>
      <c r="Y154" s="19">
        <v>0</v>
      </c>
      <c r="Z154" s="19">
        <v>20</v>
      </c>
      <c r="AA154" s="19">
        <v>80</v>
      </c>
      <c r="AB154" s="2">
        <v>92.11</v>
      </c>
      <c r="AC154" s="19">
        <v>100</v>
      </c>
      <c r="AD154" s="19">
        <v>0</v>
      </c>
      <c r="AE154" s="2">
        <f>SUM(tbSabana2016[[#This Row],[Arbolado Adulto (HA)]:[Suelo Orgánico (HA)]])</f>
        <v>292.11</v>
      </c>
      <c r="AF154" s="9">
        <f t="shared" si="100"/>
        <v>3262.3900000000003</v>
      </c>
      <c r="AG154" s="9">
        <f>tbSabana2016[[#This Row],[Acumulado (HA)]]/tbSabana2016[[#This Row],[Incendio en el AÑO]]</f>
        <v>21.749266666666667</v>
      </c>
      <c r="AH154" s="2" t="s">
        <v>418</v>
      </c>
      <c r="AI154" s="2" t="s">
        <v>283</v>
      </c>
      <c r="AJ154" s="2" t="s">
        <v>139</v>
      </c>
      <c r="AK154" s="2" t="s">
        <v>166</v>
      </c>
      <c r="AL154" s="2" t="s">
        <v>150</v>
      </c>
      <c r="AM154" s="2" t="s">
        <v>151</v>
      </c>
      <c r="AN154" s="32">
        <v>43596.625</v>
      </c>
      <c r="AO154" s="32">
        <v>43596.631944444445</v>
      </c>
      <c r="AP154" s="32">
        <v>43597.354166666664</v>
      </c>
      <c r="AQ154" s="32">
        <v>43597.4375</v>
      </c>
      <c r="AR154" s="32">
        <v>43597.451388888891</v>
      </c>
      <c r="AS154" s="32">
        <v>43598.423611111109</v>
      </c>
      <c r="AT154" s="32">
        <v>43601.715277777781</v>
      </c>
      <c r="AU154" s="32">
        <v>43602.791666666664</v>
      </c>
      <c r="AV154" s="32">
        <v>43602.916666666664</v>
      </c>
      <c r="AW154" s="40">
        <v>6.166666666666667</v>
      </c>
      <c r="AX154" s="39">
        <v>6.9444444444444441E-3</v>
      </c>
      <c r="AY154" s="39">
        <v>0.80555555555555547</v>
      </c>
      <c r="AZ154" s="40">
        <f>SUM(tbSabana2016[[#This Row],[Duración]])</f>
        <v>6.166666666666667</v>
      </c>
      <c r="BA154" s="2">
        <v>3</v>
      </c>
      <c r="BB154" s="2">
        <v>6</v>
      </c>
      <c r="BC154" s="2">
        <v>0</v>
      </c>
      <c r="BD154" s="2">
        <v>0</v>
      </c>
      <c r="BE154" s="2">
        <v>3</v>
      </c>
      <c r="BF154" s="2">
        <v>0</v>
      </c>
      <c r="BG154" s="2">
        <v>0</v>
      </c>
      <c r="BH154" s="2">
        <v>6</v>
      </c>
      <c r="BI154" s="2">
        <v>0</v>
      </c>
      <c r="BJ154" s="2" t="s">
        <v>181</v>
      </c>
      <c r="BK154" s="2">
        <v>0</v>
      </c>
      <c r="BL154" s="2">
        <v>1</v>
      </c>
      <c r="BM154" s="2">
        <v>1</v>
      </c>
      <c r="BN154" s="2">
        <v>1</v>
      </c>
      <c r="BO154" s="2">
        <v>0</v>
      </c>
      <c r="BP154" s="2">
        <v>0</v>
      </c>
      <c r="BQ154" s="2">
        <v>1</v>
      </c>
      <c r="BR154" s="2">
        <v>1</v>
      </c>
      <c r="BS154" s="2" t="s">
        <v>758</v>
      </c>
      <c r="BT154" s="2">
        <v>46</v>
      </c>
      <c r="BU154" s="2">
        <v>0</v>
      </c>
      <c r="BV154" s="2">
        <v>0</v>
      </c>
      <c r="BW154" s="2">
        <v>30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49</v>
      </c>
      <c r="CE154" s="1">
        <v>0</v>
      </c>
      <c r="CF154" s="1">
        <v>0</v>
      </c>
      <c r="CG154" s="1">
        <v>16</v>
      </c>
      <c r="CH154" s="1">
        <v>10</v>
      </c>
      <c r="CI154" s="1">
        <v>30</v>
      </c>
      <c r="CJ154" s="1">
        <v>0</v>
      </c>
      <c r="CK154" s="2">
        <v>0</v>
      </c>
      <c r="CL154" s="2">
        <v>0</v>
      </c>
      <c r="CM154" s="1">
        <v>0</v>
      </c>
      <c r="CN154" s="93">
        <f t="shared" si="101"/>
        <v>181</v>
      </c>
      <c r="CO154" s="10">
        <f t="shared" si="99"/>
        <v>3709</v>
      </c>
      <c r="CP154" s="1">
        <f t="shared" si="102"/>
        <v>171</v>
      </c>
      <c r="CQ154" s="1">
        <f>SUM(tbSabana2016[[#This Row],[Voluntarios]])</f>
        <v>10</v>
      </c>
      <c r="CR154" s="1">
        <f>tbSabana2016[[#This Row],[CONAFOR (Oficiales)]]*383</f>
        <v>17618</v>
      </c>
      <c r="CS154" s="8">
        <f>(tbSabana2016[[#This Row],[Total (Oficiales)]]-tbSabana2016[[#This Row],[CONAFOR (Oficiales)]])*217</f>
        <v>29295</v>
      </c>
      <c r="CT154" s="94">
        <f>SUM(tbSabana2016[[#This Row],[Costo CONAFOR]:[Costo Otros]])</f>
        <v>46913</v>
      </c>
      <c r="CU154" s="8">
        <v>55052.46</v>
      </c>
      <c r="CV154" s="8">
        <f t="shared" si="103"/>
        <v>101965.45999999999</v>
      </c>
      <c r="CW154" s="1" t="s">
        <v>154</v>
      </c>
      <c r="CX154" s="1" t="s">
        <v>154</v>
      </c>
      <c r="CY154" s="1" t="s">
        <v>154</v>
      </c>
      <c r="CZ154" s="2" t="s">
        <v>154</v>
      </c>
      <c r="DA154" s="1" t="s">
        <v>172</v>
      </c>
      <c r="DB154" s="1" t="s">
        <v>155</v>
      </c>
      <c r="DC154" s="2" t="s">
        <v>759</v>
      </c>
      <c r="DD154" s="1" t="s">
        <v>492</v>
      </c>
      <c r="DE154" s="2" t="s">
        <v>202</v>
      </c>
      <c r="DF154" s="2" t="s">
        <v>159</v>
      </c>
      <c r="DG154" s="2" t="s">
        <v>203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93">
        <f t="shared" si="104"/>
        <v>0</v>
      </c>
      <c r="DO154" s="95"/>
    </row>
    <row r="155" spans="1:119" s="1" customFormat="1" x14ac:dyDescent="0.25">
      <c r="A155" s="2" t="s">
        <v>724</v>
      </c>
      <c r="B155" s="2">
        <v>151</v>
      </c>
      <c r="C155" s="35">
        <v>43599</v>
      </c>
      <c r="D155" s="35">
        <v>43599</v>
      </c>
      <c r="E155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55" s="2">
        <v>20</v>
      </c>
      <c r="G155" s="2">
        <v>1</v>
      </c>
      <c r="H155" s="47"/>
      <c r="I155" s="2" t="str">
        <f>TEXT(tbSabana2016[[#This Row],[Fecha de Inicio]],"dddd")</f>
        <v>martes</v>
      </c>
      <c r="J155" s="2" t="str">
        <f>TEXT(tbSabana2016[[#This Row],[Fecha de Inicio]],"mmmm")</f>
        <v>mayo</v>
      </c>
      <c r="K155" s="37" t="s">
        <v>143</v>
      </c>
      <c r="L155" s="23">
        <v>23</v>
      </c>
      <c r="M155" s="38" t="s">
        <v>123</v>
      </c>
      <c r="N155" s="38" t="s">
        <v>123</v>
      </c>
      <c r="O155" s="96" t="s">
        <v>725</v>
      </c>
      <c r="P155" s="2"/>
      <c r="Q155" s="2">
        <v>19</v>
      </c>
      <c r="R155" s="104">
        <v>1</v>
      </c>
      <c r="S155" s="104">
        <v>2.2999999999999998</v>
      </c>
      <c r="T155" s="104">
        <v>99</v>
      </c>
      <c r="U155" s="104">
        <v>1</v>
      </c>
      <c r="V155" s="104">
        <v>58</v>
      </c>
      <c r="W155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01' 02.30'' W 99° 01' 58.00''</v>
      </c>
      <c r="X155" s="2">
        <v>2452</v>
      </c>
      <c r="Y155" s="19">
        <v>0</v>
      </c>
      <c r="Z155" s="19">
        <v>0</v>
      </c>
      <c r="AA155" s="19">
        <v>100</v>
      </c>
      <c r="AB155" s="2">
        <v>75.400000000000006</v>
      </c>
      <c r="AC155" s="19">
        <v>40</v>
      </c>
      <c r="AD155" s="19">
        <v>0</v>
      </c>
      <c r="AE155" s="2">
        <f>SUM(tbSabana2016[[#This Row],[Arbolado Adulto (HA)]:[Suelo Orgánico (HA)]])</f>
        <v>215.4</v>
      </c>
      <c r="AF155" s="9">
        <f t="shared" si="100"/>
        <v>3477.7900000000004</v>
      </c>
      <c r="AG155" s="9">
        <f>tbSabana2016[[#This Row],[Acumulado (HA)]]/tbSabana2016[[#This Row],[Incendio en el AÑO]]</f>
        <v>23.031721854304639</v>
      </c>
      <c r="AH155" s="2" t="s">
        <v>147</v>
      </c>
      <c r="AI155" s="2" t="s">
        <v>165</v>
      </c>
      <c r="AJ155" s="2" t="s">
        <v>134</v>
      </c>
      <c r="AK155" s="2" t="s">
        <v>200</v>
      </c>
      <c r="AL155" s="2" t="s">
        <v>150</v>
      </c>
      <c r="AM155" s="2" t="s">
        <v>151</v>
      </c>
      <c r="AN155" s="32">
        <v>43599.388888888891</v>
      </c>
      <c r="AO155" s="32">
        <v>43599.392361111109</v>
      </c>
      <c r="AP155" s="32">
        <v>43599.395833333336</v>
      </c>
      <c r="AQ155" s="32">
        <v>43599.416666666664</v>
      </c>
      <c r="AR155" s="32">
        <v>43599.420138888891</v>
      </c>
      <c r="AS155" s="32"/>
      <c r="AT155" s="32">
        <v>43599.666666666664</v>
      </c>
      <c r="AU155" s="32">
        <v>43599.708333333336</v>
      </c>
      <c r="AV155" s="32">
        <v>43599.729166666664</v>
      </c>
      <c r="AW155" s="39">
        <v>0.31944444444444448</v>
      </c>
      <c r="AX155" s="39">
        <v>3.472222222222222E-3</v>
      </c>
      <c r="AY155" s="39">
        <v>2.4305555555555556E-2</v>
      </c>
      <c r="AZ155" s="39">
        <f>SUM(tbSabana2016[[#This Row],[Duración]])</f>
        <v>0.31944444444444448</v>
      </c>
      <c r="BA155" s="2">
        <v>2</v>
      </c>
      <c r="BB155" s="2">
        <v>1</v>
      </c>
      <c r="BC155" s="2">
        <v>0</v>
      </c>
      <c r="BD155" s="2">
        <v>0</v>
      </c>
      <c r="BE155" s="2">
        <v>2</v>
      </c>
      <c r="BF155" s="2">
        <v>0</v>
      </c>
      <c r="BG155" s="2">
        <v>0</v>
      </c>
      <c r="BH155" s="2">
        <v>3</v>
      </c>
      <c r="BI155" s="2">
        <v>0</v>
      </c>
      <c r="BJ155" s="2" t="s">
        <v>664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 t="s">
        <v>726</v>
      </c>
      <c r="BT155" s="2">
        <v>0</v>
      </c>
      <c r="BU155" s="2">
        <v>0</v>
      </c>
      <c r="BV155" s="2">
        <v>10</v>
      </c>
      <c r="BW155" s="2">
        <v>0</v>
      </c>
      <c r="BX155" s="2">
        <v>0</v>
      </c>
      <c r="BY155" s="2">
        <v>10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1">
        <v>0</v>
      </c>
      <c r="CF155" s="1">
        <v>0</v>
      </c>
      <c r="CG155" s="1">
        <v>0</v>
      </c>
      <c r="CH155" s="1">
        <v>0</v>
      </c>
      <c r="CI155" s="1">
        <v>0</v>
      </c>
      <c r="CJ155" s="1">
        <v>0</v>
      </c>
      <c r="CK155" s="2">
        <v>0</v>
      </c>
      <c r="CL155" s="2">
        <v>0</v>
      </c>
      <c r="CM155" s="1">
        <v>0</v>
      </c>
      <c r="CN155" s="93">
        <f t="shared" si="101"/>
        <v>20</v>
      </c>
      <c r="CO155" s="10">
        <f t="shared" si="99"/>
        <v>3729</v>
      </c>
      <c r="CP155" s="1">
        <f t="shared" si="102"/>
        <v>20</v>
      </c>
      <c r="CQ155" s="1">
        <f>SUM(tbSabana2016[[#This Row],[Voluntarios]])</f>
        <v>0</v>
      </c>
      <c r="CR155" s="1">
        <f>tbSabana2016[[#This Row],[CONAFOR (Oficiales)]]*383</f>
        <v>0</v>
      </c>
      <c r="CS155" s="8">
        <f>(tbSabana2016[[#This Row],[Total (Oficiales)]]-tbSabana2016[[#This Row],[CONAFOR (Oficiales)]])*217</f>
        <v>4340</v>
      </c>
      <c r="CT155" s="94">
        <f>SUM(tbSabana2016[[#This Row],[Costo CONAFOR]:[Costo Otros]])</f>
        <v>4340</v>
      </c>
      <c r="CU155" s="8">
        <v>190</v>
      </c>
      <c r="CV155" s="8">
        <f t="shared" si="103"/>
        <v>4530</v>
      </c>
      <c r="CW155" s="1" t="s">
        <v>154</v>
      </c>
      <c r="CX155" s="1" t="s">
        <v>154</v>
      </c>
      <c r="CY155" s="1" t="s">
        <v>154</v>
      </c>
      <c r="CZ155" s="2" t="s">
        <v>154</v>
      </c>
      <c r="DA155" s="1" t="s">
        <v>172</v>
      </c>
      <c r="DB155" s="1" t="s">
        <v>155</v>
      </c>
      <c r="DC155" s="2" t="s">
        <v>278</v>
      </c>
      <c r="DD155" s="1" t="s">
        <v>279</v>
      </c>
      <c r="DE155" s="2" t="s">
        <v>158</v>
      </c>
      <c r="DF155" s="2" t="s">
        <v>159</v>
      </c>
      <c r="DG155" s="2" t="s">
        <v>160</v>
      </c>
      <c r="DH155" s="2">
        <v>0</v>
      </c>
      <c r="DI155" s="2">
        <v>0</v>
      </c>
      <c r="DJ155" s="2">
        <v>100</v>
      </c>
      <c r="DK155" s="2">
        <v>75.400000000000006</v>
      </c>
      <c r="DL155" s="2">
        <v>40</v>
      </c>
      <c r="DM155" s="2">
        <v>0</v>
      </c>
      <c r="DN155" s="93">
        <f t="shared" si="104"/>
        <v>215.4</v>
      </c>
      <c r="DO155" s="95"/>
    </row>
    <row r="156" spans="1:119" s="1" customFormat="1" x14ac:dyDescent="0.25">
      <c r="A156" s="2" t="s">
        <v>727</v>
      </c>
      <c r="B156" s="2">
        <v>152</v>
      </c>
      <c r="C156" s="35">
        <v>43599</v>
      </c>
      <c r="D156" s="35">
        <v>43599</v>
      </c>
      <c r="E156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56" s="2">
        <v>21</v>
      </c>
      <c r="G156" s="2">
        <v>1</v>
      </c>
      <c r="H156" s="47">
        <v>20</v>
      </c>
      <c r="I156" s="2" t="str">
        <f>TEXT(tbSabana2016[[#This Row],[Fecha de Inicio]],"dddd")</f>
        <v>martes</v>
      </c>
      <c r="J156" s="2" t="str">
        <f>TEXT(tbSabana2016[[#This Row],[Fecha de Inicio]],"mmmm")</f>
        <v>mayo</v>
      </c>
      <c r="K156" s="37" t="s">
        <v>143</v>
      </c>
      <c r="L156" s="23">
        <v>9</v>
      </c>
      <c r="M156" s="38" t="s">
        <v>144</v>
      </c>
      <c r="N156" s="38" t="s">
        <v>144</v>
      </c>
      <c r="O156" s="96" t="s">
        <v>633</v>
      </c>
      <c r="P156" s="2"/>
      <c r="Q156" s="2">
        <v>19</v>
      </c>
      <c r="R156" s="104">
        <v>0</v>
      </c>
      <c r="S156" s="104">
        <v>19.66</v>
      </c>
      <c r="T156" s="104">
        <v>99</v>
      </c>
      <c r="U156" s="104">
        <v>15</v>
      </c>
      <c r="V156" s="104">
        <v>43.2</v>
      </c>
      <c r="W156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19.66'' W 99° 15' 43.20''</v>
      </c>
      <c r="X156" s="2">
        <v>2224</v>
      </c>
      <c r="Y156" s="19">
        <v>0</v>
      </c>
      <c r="Z156" s="19">
        <v>0</v>
      </c>
      <c r="AA156" s="19">
        <v>0</v>
      </c>
      <c r="AB156" s="2">
        <v>0</v>
      </c>
      <c r="AC156" s="19">
        <v>0.3</v>
      </c>
      <c r="AD156" s="19">
        <v>0</v>
      </c>
      <c r="AE156" s="2">
        <f>SUM(tbSabana2016[[#This Row],[Arbolado Adulto (HA)]:[Suelo Orgánico (HA)]])</f>
        <v>0.3</v>
      </c>
      <c r="AF156" s="9">
        <f t="shared" si="100"/>
        <v>3478.0900000000006</v>
      </c>
      <c r="AG156" s="9">
        <f>tbSabana2016[[#This Row],[Acumulado (HA)]]/tbSabana2016[[#This Row],[Incendio en el AÑO]]</f>
        <v>22.882171052631584</v>
      </c>
      <c r="AH156" s="2" t="s">
        <v>418</v>
      </c>
      <c r="AI156" s="2" t="s">
        <v>659</v>
      </c>
      <c r="AJ156" s="2" t="s">
        <v>567</v>
      </c>
      <c r="AK156" s="2" t="s">
        <v>166</v>
      </c>
      <c r="AL156" s="2" t="s">
        <v>150</v>
      </c>
      <c r="AM156" s="2" t="s">
        <v>151</v>
      </c>
      <c r="AN156" s="32">
        <v>43599.513888888891</v>
      </c>
      <c r="AO156" s="32">
        <v>43599.517361111109</v>
      </c>
      <c r="AP156" s="32">
        <v>43599.520833333336</v>
      </c>
      <c r="AQ156" s="32">
        <v>43599.541666666664</v>
      </c>
      <c r="AR156" s="32">
        <v>43599.541666666664</v>
      </c>
      <c r="AS156" s="32"/>
      <c r="AT156" s="32">
        <v>43599.555555555555</v>
      </c>
      <c r="AU156" s="32">
        <v>43599.5625</v>
      </c>
      <c r="AV156" s="32">
        <v>43599.590277777781</v>
      </c>
      <c r="AW156" s="39">
        <v>4.8611111111111112E-2</v>
      </c>
      <c r="AX156" s="39">
        <v>3.472222222222222E-3</v>
      </c>
      <c r="AY156" s="39">
        <v>2.4305555555555556E-2</v>
      </c>
      <c r="AZ156" s="39">
        <f>SUM(tbSabana2016[[#This Row],[Duración]])</f>
        <v>4.8611111111111112E-2</v>
      </c>
      <c r="BA156" s="2">
        <v>0.1</v>
      </c>
      <c r="BB156" s="2">
        <v>0.3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 t="s">
        <v>640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 t="s">
        <v>728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11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0</v>
      </c>
      <c r="CK156" s="2">
        <v>0</v>
      </c>
      <c r="CL156" s="2">
        <v>0</v>
      </c>
      <c r="CM156" s="1">
        <v>0</v>
      </c>
      <c r="CN156" s="93">
        <f t="shared" si="101"/>
        <v>11</v>
      </c>
      <c r="CO156" s="10">
        <f t="shared" si="99"/>
        <v>3740</v>
      </c>
      <c r="CP156" s="1">
        <f t="shared" si="102"/>
        <v>11</v>
      </c>
      <c r="CQ156" s="1">
        <f>SUM(tbSabana2016[[#This Row],[Voluntarios]])</f>
        <v>0</v>
      </c>
      <c r="CR156" s="1">
        <f>tbSabana2016[[#This Row],[CONAFOR (Oficiales)]]*383</f>
        <v>0</v>
      </c>
      <c r="CS156" s="8">
        <f>(tbSabana2016[[#This Row],[Total (Oficiales)]]-tbSabana2016[[#This Row],[CONAFOR (Oficiales)]])*217</f>
        <v>2387</v>
      </c>
      <c r="CT156" s="94">
        <f>SUM(tbSabana2016[[#This Row],[Costo CONAFOR]:[Costo Otros]])</f>
        <v>2387</v>
      </c>
      <c r="CU156" s="8">
        <v>152</v>
      </c>
      <c r="CV156" s="8">
        <f t="shared" si="103"/>
        <v>2539</v>
      </c>
      <c r="CW156" s="1" t="s">
        <v>154</v>
      </c>
      <c r="CX156" s="1" t="s">
        <v>154</v>
      </c>
      <c r="CY156" s="1" t="s">
        <v>154</v>
      </c>
      <c r="CZ156" s="2" t="s">
        <v>154</v>
      </c>
      <c r="DA156" s="1" t="s">
        <v>172</v>
      </c>
      <c r="DB156" s="1" t="s">
        <v>155</v>
      </c>
      <c r="DC156" s="25" t="s">
        <v>156</v>
      </c>
      <c r="DD156" s="1" t="s">
        <v>157</v>
      </c>
      <c r="DE156" s="2" t="s">
        <v>158</v>
      </c>
      <c r="DF156" s="2" t="s">
        <v>159</v>
      </c>
      <c r="DG156" s="2" t="s">
        <v>160</v>
      </c>
      <c r="DH156" s="2">
        <v>0</v>
      </c>
      <c r="DI156" s="2">
        <v>0</v>
      </c>
      <c r="DJ156" s="2">
        <v>0</v>
      </c>
      <c r="DK156" s="2">
        <v>0</v>
      </c>
      <c r="DL156" s="2">
        <v>0.3</v>
      </c>
      <c r="DM156" s="2">
        <v>0</v>
      </c>
      <c r="DN156" s="93">
        <f t="shared" si="104"/>
        <v>0.3</v>
      </c>
      <c r="DO156" s="95"/>
    </row>
    <row r="157" spans="1:119" s="1" customFormat="1" x14ac:dyDescent="0.25">
      <c r="A157" s="2" t="s">
        <v>732</v>
      </c>
      <c r="B157" s="2">
        <v>153</v>
      </c>
      <c r="C157" s="35">
        <v>43599</v>
      </c>
      <c r="D157" s="35">
        <v>43599</v>
      </c>
      <c r="E157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57" s="2">
        <v>22</v>
      </c>
      <c r="G157" s="2">
        <v>1</v>
      </c>
      <c r="H157" s="47">
        <v>20</v>
      </c>
      <c r="I157" s="2" t="str">
        <f>TEXT(tbSabana2016[[#This Row],[Fecha de Inicio]],"dddd")</f>
        <v>martes</v>
      </c>
      <c r="J157" s="2" t="str">
        <f>TEXT(tbSabana2016[[#This Row],[Fecha de Inicio]],"mmmm")</f>
        <v>mayo</v>
      </c>
      <c r="K157" s="37" t="s">
        <v>143</v>
      </c>
      <c r="L157" s="23">
        <v>20</v>
      </c>
      <c r="M157" s="38" t="s">
        <v>162</v>
      </c>
      <c r="N157" s="38" t="s">
        <v>269</v>
      </c>
      <c r="O157" s="96" t="s">
        <v>702</v>
      </c>
      <c r="P157" s="2"/>
      <c r="Q157" s="2">
        <v>19</v>
      </c>
      <c r="R157" s="104">
        <v>2</v>
      </c>
      <c r="S157" s="104">
        <v>44.77</v>
      </c>
      <c r="T157" s="104">
        <v>99</v>
      </c>
      <c r="U157" s="104">
        <v>4</v>
      </c>
      <c r="V157" s="104">
        <v>26.47</v>
      </c>
      <c r="W157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02' 44.77'' W 99° 04' 26.47''</v>
      </c>
      <c r="X157" s="2">
        <v>2881</v>
      </c>
      <c r="Y157" s="19">
        <v>0</v>
      </c>
      <c r="Z157" s="19">
        <v>0</v>
      </c>
      <c r="AA157" s="19">
        <v>8</v>
      </c>
      <c r="AB157" s="2">
        <v>5.87</v>
      </c>
      <c r="AC157" s="19">
        <v>0</v>
      </c>
      <c r="AD157" s="19">
        <v>0</v>
      </c>
      <c r="AE157" s="2">
        <f>SUM(tbSabana2016[[#This Row],[Arbolado Adulto (HA)]:[Suelo Orgánico (HA)]])</f>
        <v>13.870000000000001</v>
      </c>
      <c r="AF157" s="9">
        <f t="shared" si="100"/>
        <v>3491.9600000000005</v>
      </c>
      <c r="AG157" s="9">
        <f>tbSabana2016[[#This Row],[Acumulado (HA)]]/tbSabana2016[[#This Row],[Incendio en el AÑO]]</f>
        <v>22.823267973856211</v>
      </c>
      <c r="AH157" s="2" t="s">
        <v>418</v>
      </c>
      <c r="AI157" s="2" t="s">
        <v>665</v>
      </c>
      <c r="AJ157" s="2" t="s">
        <v>133</v>
      </c>
      <c r="AK157" s="2" t="s">
        <v>734</v>
      </c>
      <c r="AL157" s="2" t="s">
        <v>150</v>
      </c>
      <c r="AM157" s="2" t="s">
        <v>151</v>
      </c>
      <c r="AN157" s="32">
        <v>43599.597222222219</v>
      </c>
      <c r="AO157" s="32">
        <v>43599.600694444445</v>
      </c>
      <c r="AP157" s="32">
        <v>43599.604166666664</v>
      </c>
      <c r="AQ157" s="32">
        <v>43599.631944444445</v>
      </c>
      <c r="AR157" s="32">
        <v>43599.631944444445</v>
      </c>
      <c r="AS157" s="32"/>
      <c r="AT157" s="32">
        <v>43599.708333333336</v>
      </c>
      <c r="AU157" s="32">
        <v>43599.770833333336</v>
      </c>
      <c r="AV157" s="32">
        <v>43599.798611111109</v>
      </c>
      <c r="AW157" s="39">
        <v>0.17361111111111113</v>
      </c>
      <c r="AX157" s="39">
        <v>3.472222222222222E-3</v>
      </c>
      <c r="AY157" s="39">
        <v>3.125E-2</v>
      </c>
      <c r="AZ157" s="39">
        <f>SUM(tbSabana2016[[#This Row],[Duración]])</f>
        <v>0.17361111111111113</v>
      </c>
      <c r="BA157" s="2">
        <v>0.8</v>
      </c>
      <c r="BB157" s="2">
        <v>0.3</v>
      </c>
      <c r="BC157" s="2">
        <v>0</v>
      </c>
      <c r="BD157" s="2">
        <v>0</v>
      </c>
      <c r="BE157" s="2">
        <v>0.6</v>
      </c>
      <c r="BF157" s="2">
        <v>0</v>
      </c>
      <c r="BG157" s="2">
        <v>0</v>
      </c>
      <c r="BH157" s="2">
        <v>1</v>
      </c>
      <c r="BI157" s="2">
        <v>0</v>
      </c>
      <c r="BJ157" s="2" t="s">
        <v>582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 t="s">
        <v>735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10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1">
        <v>0</v>
      </c>
      <c r="CF157" s="1">
        <v>0</v>
      </c>
      <c r="CG157" s="1">
        <v>0</v>
      </c>
      <c r="CH157" s="1">
        <v>0</v>
      </c>
      <c r="CI157" s="1">
        <v>0</v>
      </c>
      <c r="CJ157" s="1">
        <v>0</v>
      </c>
      <c r="CK157" s="2">
        <v>0</v>
      </c>
      <c r="CL157" s="2">
        <v>0</v>
      </c>
      <c r="CM157" s="1">
        <v>0</v>
      </c>
      <c r="CN157" s="93">
        <f t="shared" si="101"/>
        <v>10</v>
      </c>
      <c r="CO157" s="10">
        <f t="shared" si="99"/>
        <v>3750</v>
      </c>
      <c r="CP157" s="1">
        <f t="shared" si="102"/>
        <v>10</v>
      </c>
      <c r="CQ157" s="1">
        <f>SUM(tbSabana2016[[#This Row],[Voluntarios]])</f>
        <v>0</v>
      </c>
      <c r="CR157" s="1">
        <f>tbSabana2016[[#This Row],[CONAFOR (Oficiales)]]*383</f>
        <v>0</v>
      </c>
      <c r="CS157" s="8">
        <f>(tbSabana2016[[#This Row],[Total (Oficiales)]]-tbSabana2016[[#This Row],[CONAFOR (Oficiales)]])*217</f>
        <v>2170</v>
      </c>
      <c r="CT157" s="94">
        <f>SUM(tbSabana2016[[#This Row],[Costo CONAFOR]:[Costo Otros]])</f>
        <v>2170</v>
      </c>
      <c r="CU157" s="8">
        <v>100</v>
      </c>
      <c r="CV157" s="8">
        <f t="shared" si="103"/>
        <v>2270</v>
      </c>
      <c r="CW157" s="1" t="s">
        <v>154</v>
      </c>
      <c r="CX157" s="1" t="s">
        <v>154</v>
      </c>
      <c r="CY157" s="1" t="s">
        <v>154</v>
      </c>
      <c r="CZ157" s="2" t="s">
        <v>154</v>
      </c>
      <c r="DA157" s="1" t="s">
        <v>172</v>
      </c>
      <c r="DB157" s="1" t="s">
        <v>155</v>
      </c>
      <c r="DC157" s="25" t="s">
        <v>156</v>
      </c>
      <c r="DD157" s="1" t="s">
        <v>157</v>
      </c>
      <c r="DE157" s="2" t="s">
        <v>170</v>
      </c>
      <c r="DF157" s="2" t="s">
        <v>159</v>
      </c>
      <c r="DG157" s="2" t="s">
        <v>475</v>
      </c>
      <c r="DH157" s="2">
        <v>0</v>
      </c>
      <c r="DI157" s="2">
        <v>0</v>
      </c>
      <c r="DJ157" s="2">
        <v>8</v>
      </c>
      <c r="DK157" s="2">
        <v>5.87</v>
      </c>
      <c r="DL157" s="2">
        <v>0</v>
      </c>
      <c r="DM157" s="2">
        <v>0</v>
      </c>
      <c r="DN157" s="93">
        <f t="shared" si="104"/>
        <v>13.870000000000001</v>
      </c>
      <c r="DO157" s="95"/>
    </row>
    <row r="158" spans="1:119" s="1" customFormat="1" x14ac:dyDescent="0.25">
      <c r="A158" s="2" t="s">
        <v>733</v>
      </c>
      <c r="B158" s="2">
        <v>154</v>
      </c>
      <c r="C158" s="35">
        <v>43599</v>
      </c>
      <c r="D158" s="35">
        <v>43599</v>
      </c>
      <c r="E158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58" s="2">
        <v>23</v>
      </c>
      <c r="G158" s="2">
        <v>1</v>
      </c>
      <c r="H158" s="47">
        <v>20</v>
      </c>
      <c r="I158" s="2" t="str">
        <f>TEXT(tbSabana2016[[#This Row],[Fecha de Inicio]],"dddd")</f>
        <v>martes</v>
      </c>
      <c r="J158" s="2" t="str">
        <f>TEXT(tbSabana2016[[#This Row],[Fecha de Inicio]],"mmmm")</f>
        <v>mayo</v>
      </c>
      <c r="K158" s="37" t="s">
        <v>143</v>
      </c>
      <c r="L158" s="23">
        <v>9</v>
      </c>
      <c r="M158" s="38" t="s">
        <v>144</v>
      </c>
      <c r="N158" s="38" t="s">
        <v>144</v>
      </c>
      <c r="O158" s="96" t="s">
        <v>736</v>
      </c>
      <c r="P158" s="2"/>
      <c r="Q158" s="2">
        <v>19</v>
      </c>
      <c r="R158" s="104">
        <v>5</v>
      </c>
      <c r="S158" s="104">
        <v>38.32</v>
      </c>
      <c r="T158" s="104">
        <v>99</v>
      </c>
      <c r="U158" s="104">
        <v>16</v>
      </c>
      <c r="V158" s="104">
        <v>38.49</v>
      </c>
      <c r="W158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05' 38.32'' W 99° 16' 38.49''</v>
      </c>
      <c r="X158" s="2">
        <v>2954</v>
      </c>
      <c r="Y158" s="19">
        <v>0</v>
      </c>
      <c r="Z158" s="19">
        <v>0</v>
      </c>
      <c r="AA158" s="19">
        <v>1.49</v>
      </c>
      <c r="AB158" s="2">
        <v>3</v>
      </c>
      <c r="AC158" s="19">
        <v>0</v>
      </c>
      <c r="AD158" s="19">
        <v>0</v>
      </c>
      <c r="AE158" s="2">
        <f>SUM(tbSabana2016[[#This Row],[Arbolado Adulto (HA)]:[Suelo Orgánico (HA)]])</f>
        <v>4.49</v>
      </c>
      <c r="AF158" s="9">
        <f t="shared" si="100"/>
        <v>3496.4500000000003</v>
      </c>
      <c r="AG158" s="9">
        <f>tbSabana2016[[#This Row],[Acumulado (HA)]]/tbSabana2016[[#This Row],[Incendio en el AÑO]]</f>
        <v>22.70422077922078</v>
      </c>
      <c r="AH158" s="2" t="s">
        <v>147</v>
      </c>
      <c r="AI158" s="2" t="s">
        <v>165</v>
      </c>
      <c r="AJ158" s="2" t="s">
        <v>133</v>
      </c>
      <c r="AK158" s="2" t="s">
        <v>149</v>
      </c>
      <c r="AL158" s="2" t="s">
        <v>150</v>
      </c>
      <c r="AM158" s="2" t="s">
        <v>151</v>
      </c>
      <c r="AN158" s="32">
        <v>43599.517361111109</v>
      </c>
      <c r="AO158" s="32">
        <v>43599.524305555555</v>
      </c>
      <c r="AP158" s="32">
        <v>43599.527777777781</v>
      </c>
      <c r="AQ158" s="32">
        <v>43599.541666666664</v>
      </c>
      <c r="AR158" s="32">
        <v>43599.541666666664</v>
      </c>
      <c r="AS158" s="32"/>
      <c r="AT158" s="32">
        <v>43599.666666666664</v>
      </c>
      <c r="AU158" s="32">
        <v>43599.694444444445</v>
      </c>
      <c r="AV158" s="32">
        <v>43599.708333333336</v>
      </c>
      <c r="AW158" s="39">
        <v>0.17708333333333334</v>
      </c>
      <c r="AX158" s="39">
        <v>6.9444444444444441E-3</v>
      </c>
      <c r="AY158" s="39">
        <v>1.7361111111111112E-2</v>
      </c>
      <c r="AZ158" s="39">
        <f>SUM(tbSabana2016[[#This Row],[Duración]])</f>
        <v>0.17708333333333334</v>
      </c>
      <c r="BA158" s="2">
        <v>0.2</v>
      </c>
      <c r="BB158" s="2">
        <v>0.9</v>
      </c>
      <c r="BC158" s="2">
        <v>0</v>
      </c>
      <c r="BD158" s="2">
        <v>0</v>
      </c>
      <c r="BE158" s="2">
        <v>0.3</v>
      </c>
      <c r="BF158" s="2">
        <v>0</v>
      </c>
      <c r="BG158" s="2">
        <v>0.3</v>
      </c>
      <c r="BH158" s="2">
        <v>1</v>
      </c>
      <c r="BI158" s="2">
        <v>0</v>
      </c>
      <c r="BJ158" s="2" t="s">
        <v>737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 t="s">
        <v>738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11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0</v>
      </c>
      <c r="CK158" s="2">
        <v>0</v>
      </c>
      <c r="CL158" s="2">
        <v>0</v>
      </c>
      <c r="CM158" s="1">
        <v>0</v>
      </c>
      <c r="CN158" s="93">
        <f t="shared" si="101"/>
        <v>11</v>
      </c>
      <c r="CO158" s="10">
        <f t="shared" si="99"/>
        <v>3761</v>
      </c>
      <c r="CP158" s="1">
        <f t="shared" si="102"/>
        <v>11</v>
      </c>
      <c r="CQ158" s="1">
        <f>SUM(tbSabana2016[[#This Row],[Voluntarios]])</f>
        <v>0</v>
      </c>
      <c r="CR158" s="1">
        <f>tbSabana2016[[#This Row],[CONAFOR (Oficiales)]]*383</f>
        <v>0</v>
      </c>
      <c r="CS158" s="8">
        <f>(tbSabana2016[[#This Row],[Total (Oficiales)]]-tbSabana2016[[#This Row],[CONAFOR (Oficiales)]])*217</f>
        <v>2387</v>
      </c>
      <c r="CT158" s="94">
        <f>SUM(tbSabana2016[[#This Row],[Costo CONAFOR]:[Costo Otros]])</f>
        <v>2387</v>
      </c>
      <c r="CU158" s="8">
        <v>100</v>
      </c>
      <c r="CV158" s="8">
        <f t="shared" si="103"/>
        <v>2487</v>
      </c>
      <c r="CW158" s="1" t="s">
        <v>154</v>
      </c>
      <c r="CX158" s="1" t="s">
        <v>154</v>
      </c>
      <c r="CY158" s="1" t="s">
        <v>154</v>
      </c>
      <c r="CZ158" s="2" t="s">
        <v>154</v>
      </c>
      <c r="DA158" s="1" t="s">
        <v>172</v>
      </c>
      <c r="DB158" s="1" t="s">
        <v>155</v>
      </c>
      <c r="DC158" s="25" t="s">
        <v>156</v>
      </c>
      <c r="DD158" s="1" t="s">
        <v>157</v>
      </c>
      <c r="DE158" s="2" t="s">
        <v>499</v>
      </c>
      <c r="DF158" s="2" t="s">
        <v>159</v>
      </c>
      <c r="DG158" s="2" t="s">
        <v>500</v>
      </c>
      <c r="DH158" s="2">
        <v>0</v>
      </c>
      <c r="DI158" s="2">
        <v>0</v>
      </c>
      <c r="DJ158" s="2">
        <v>1.49</v>
      </c>
      <c r="DK158" s="2">
        <v>3</v>
      </c>
      <c r="DL158" s="2">
        <v>0</v>
      </c>
      <c r="DM158" s="2">
        <v>0</v>
      </c>
      <c r="DN158" s="93">
        <f t="shared" si="104"/>
        <v>4.49</v>
      </c>
      <c r="DO158" s="95"/>
    </row>
    <row r="159" spans="1:119" s="1" customFormat="1" x14ac:dyDescent="0.25">
      <c r="A159" s="2" t="s">
        <v>739</v>
      </c>
      <c r="B159" s="2">
        <v>155</v>
      </c>
      <c r="C159" s="35">
        <v>43599</v>
      </c>
      <c r="D159" s="35">
        <v>43600</v>
      </c>
      <c r="E159" s="2" t="str">
        <f>IF(tbSabana2016[[#This Row],[Fecha de Término]]-tbSabana2016[[#This Row],[Fecha de Inicio]]+1&gt;0,IF(tbSabana2016[[#This Row],[Fecha de Término]]-tbSabana2016[[#This Row],[Fecha de Inicio]]+1=1,"1 Día","2 o más Días"),"XX")</f>
        <v>2 o más Días</v>
      </c>
      <c r="F159" s="2">
        <v>24</v>
      </c>
      <c r="G159" s="2">
        <v>1</v>
      </c>
      <c r="H159" s="47">
        <v>20</v>
      </c>
      <c r="I159" s="2" t="str">
        <f>TEXT(tbSabana2016[[#This Row],[Fecha de Inicio]],"dddd")</f>
        <v>martes</v>
      </c>
      <c r="J159" s="2" t="str">
        <f>TEXT(tbSabana2016[[#This Row],[Fecha de Inicio]],"mmmm")</f>
        <v>mayo</v>
      </c>
      <c r="K159" s="37" t="s">
        <v>143</v>
      </c>
      <c r="L159" s="23">
        <v>9</v>
      </c>
      <c r="M159" s="38" t="s">
        <v>144</v>
      </c>
      <c r="N159" s="38" t="s">
        <v>144</v>
      </c>
      <c r="O159" s="96" t="s">
        <v>740</v>
      </c>
      <c r="P159" s="2"/>
      <c r="Q159" s="2">
        <v>18</v>
      </c>
      <c r="R159" s="104">
        <v>59</v>
      </c>
      <c r="S159" s="104">
        <v>9.06</v>
      </c>
      <c r="T159" s="104">
        <v>99</v>
      </c>
      <c r="U159" s="104">
        <v>12</v>
      </c>
      <c r="V159" s="104">
        <v>40.35</v>
      </c>
      <c r="W159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09.06'' W 99° 12' 40.35''</v>
      </c>
      <c r="X159" s="2">
        <v>1955</v>
      </c>
      <c r="Y159" s="19">
        <v>0</v>
      </c>
      <c r="Z159" s="19">
        <v>0</v>
      </c>
      <c r="AA159" s="19">
        <v>4.2300000000000004</v>
      </c>
      <c r="AB159" s="2">
        <v>10</v>
      </c>
      <c r="AC159" s="19">
        <v>5</v>
      </c>
      <c r="AD159" s="19">
        <v>0</v>
      </c>
      <c r="AE159" s="2">
        <f>SUM(tbSabana2016[[#This Row],[Arbolado Adulto (HA)]:[Suelo Orgánico (HA)]])</f>
        <v>19.23</v>
      </c>
      <c r="AF159" s="9">
        <f>SUM(AF158,AE159)</f>
        <v>3515.6800000000003</v>
      </c>
      <c r="AG159" s="9">
        <f>tbSabana2016[[#This Row],[Acumulado (HA)]]/tbSabana2016[[#This Row],[Incendio en el AÑO]]</f>
        <v>22.681806451612903</v>
      </c>
      <c r="AH159" s="2" t="s">
        <v>147</v>
      </c>
      <c r="AI159" s="2" t="s">
        <v>165</v>
      </c>
      <c r="AJ159" s="2" t="s">
        <v>139</v>
      </c>
      <c r="AK159" s="2" t="s">
        <v>166</v>
      </c>
      <c r="AL159" s="2" t="s">
        <v>150</v>
      </c>
      <c r="AM159" s="2" t="s">
        <v>151</v>
      </c>
      <c r="AN159" s="32">
        <v>43599.725694444445</v>
      </c>
      <c r="AO159" s="32">
        <v>43599.729166666664</v>
      </c>
      <c r="AP159" s="32">
        <v>43599.886111111111</v>
      </c>
      <c r="AQ159" s="32">
        <v>43599.895833333336</v>
      </c>
      <c r="AR159" s="32" t="s">
        <v>741</v>
      </c>
      <c r="AS159" s="32">
        <v>43600.354166666664</v>
      </c>
      <c r="AT159" s="32">
        <v>43600.583333333336</v>
      </c>
      <c r="AU159" s="32">
        <v>43600.625</v>
      </c>
      <c r="AV159" s="32">
        <v>43600.666666666664</v>
      </c>
      <c r="AW159" s="39">
        <v>0.89930555555555547</v>
      </c>
      <c r="AX159" s="39">
        <v>3.472222222222222E-3</v>
      </c>
      <c r="AY159" s="39">
        <v>0.15694444444444444</v>
      </c>
      <c r="AZ159" s="39">
        <f>SUM(tbSabana2016[[#This Row],[Duración]])</f>
        <v>0.89930555555555547</v>
      </c>
      <c r="BA159" s="2">
        <v>0.8</v>
      </c>
      <c r="BB159" s="2">
        <v>0.3</v>
      </c>
      <c r="BC159" s="2">
        <v>0.8</v>
      </c>
      <c r="BD159" s="2">
        <v>0</v>
      </c>
      <c r="BE159" s="2">
        <v>0.5</v>
      </c>
      <c r="BF159" s="2">
        <v>0</v>
      </c>
      <c r="BG159" s="2">
        <v>0</v>
      </c>
      <c r="BH159" s="2">
        <v>1</v>
      </c>
      <c r="BI159" s="2">
        <v>0</v>
      </c>
      <c r="BJ159" s="2" t="s">
        <v>622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 t="s">
        <v>742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11</v>
      </c>
      <c r="BZ159" s="2">
        <v>0</v>
      </c>
      <c r="CA159" s="2">
        <v>0</v>
      </c>
      <c r="CB159" s="2">
        <v>0</v>
      </c>
      <c r="CC159" s="2">
        <v>6</v>
      </c>
      <c r="CD159" s="2">
        <v>21</v>
      </c>
      <c r="CE159" s="1">
        <v>0</v>
      </c>
      <c r="CF159" s="1">
        <v>21</v>
      </c>
      <c r="CG159" s="1">
        <v>0</v>
      </c>
      <c r="CH159" s="1">
        <v>52</v>
      </c>
      <c r="CI159" s="1">
        <v>0</v>
      </c>
      <c r="CJ159" s="1">
        <v>0</v>
      </c>
      <c r="CK159" s="2">
        <v>0</v>
      </c>
      <c r="CL159" s="2">
        <v>0</v>
      </c>
      <c r="CM159" s="1">
        <v>0</v>
      </c>
      <c r="CN159" s="93">
        <f t="shared" si="101"/>
        <v>111</v>
      </c>
      <c r="CO159" s="10">
        <f t="shared" si="99"/>
        <v>3872</v>
      </c>
      <c r="CP159" s="1">
        <f t="shared" si="102"/>
        <v>59</v>
      </c>
      <c r="CQ159" s="1">
        <f>SUM(tbSabana2016[[#This Row],[Voluntarios]])</f>
        <v>52</v>
      </c>
      <c r="CR159" s="1">
        <f>tbSabana2016[[#This Row],[CONAFOR (Oficiales)]]*383</f>
        <v>0</v>
      </c>
      <c r="CS159" s="8">
        <f>(tbSabana2016[[#This Row],[Total (Oficiales)]]-tbSabana2016[[#This Row],[CONAFOR (Oficiales)]])*217</f>
        <v>24087</v>
      </c>
      <c r="CT159" s="94">
        <f>SUM(tbSabana2016[[#This Row],[Costo CONAFOR]:[Costo Otros]])</f>
        <v>24087</v>
      </c>
      <c r="CU159" s="8">
        <v>1235</v>
      </c>
      <c r="CV159" s="8">
        <f t="shared" si="103"/>
        <v>25322</v>
      </c>
      <c r="CW159" s="1" t="s">
        <v>154</v>
      </c>
      <c r="CX159" s="1" t="s">
        <v>154</v>
      </c>
      <c r="CY159" s="1" t="s">
        <v>154</v>
      </c>
      <c r="CZ159" s="2" t="s">
        <v>154</v>
      </c>
      <c r="DA159" s="1" t="s">
        <v>172</v>
      </c>
      <c r="DB159" s="1" t="s">
        <v>155</v>
      </c>
      <c r="DC159" s="25" t="s">
        <v>156</v>
      </c>
      <c r="DD159" s="1" t="s">
        <v>157</v>
      </c>
      <c r="DE159" s="2" t="s">
        <v>158</v>
      </c>
      <c r="DF159" s="2" t="s">
        <v>159</v>
      </c>
      <c r="DG159" s="2" t="s">
        <v>160</v>
      </c>
      <c r="DH159" s="2">
        <v>0</v>
      </c>
      <c r="DI159" s="2">
        <v>0</v>
      </c>
      <c r="DJ159" s="2">
        <v>4.2300000000000004</v>
      </c>
      <c r="DK159" s="2">
        <v>10</v>
      </c>
      <c r="DL159" s="2">
        <v>5</v>
      </c>
      <c r="DM159" s="2">
        <v>0</v>
      </c>
      <c r="DN159" s="93">
        <f t="shared" si="104"/>
        <v>19.23</v>
      </c>
      <c r="DO159" s="95"/>
    </row>
    <row r="160" spans="1:119" s="1" customFormat="1" x14ac:dyDescent="0.25">
      <c r="A160" s="2" t="s">
        <v>745</v>
      </c>
      <c r="B160" s="2">
        <v>156</v>
      </c>
      <c r="C160" s="35">
        <v>43600</v>
      </c>
      <c r="D160" s="35">
        <v>43600</v>
      </c>
      <c r="E160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60" s="2">
        <v>25</v>
      </c>
      <c r="G160" s="2">
        <v>1</v>
      </c>
      <c r="H160" s="47">
        <v>20</v>
      </c>
      <c r="I160" s="2" t="str">
        <f>TEXT(tbSabana2016[[#This Row],[Fecha de Inicio]],"dddd")</f>
        <v>miércoles</v>
      </c>
      <c r="J160" s="2" t="str">
        <f>TEXT(tbSabana2016[[#This Row],[Fecha de Inicio]],"mmmm")</f>
        <v>mayo</v>
      </c>
      <c r="K160" s="37" t="s">
        <v>143</v>
      </c>
      <c r="L160" s="23">
        <v>20</v>
      </c>
      <c r="M160" s="38" t="s">
        <v>162</v>
      </c>
      <c r="N160" s="38" t="s">
        <v>711</v>
      </c>
      <c r="O160" s="96" t="s">
        <v>743</v>
      </c>
      <c r="P160" s="2"/>
      <c r="Q160" s="2">
        <v>19</v>
      </c>
      <c r="R160" s="104">
        <v>0</v>
      </c>
      <c r="S160" s="104">
        <v>44.13</v>
      </c>
      <c r="T160" s="104">
        <v>99</v>
      </c>
      <c r="U160" s="104">
        <v>3</v>
      </c>
      <c r="V160" s="104">
        <v>23.43</v>
      </c>
      <c r="W160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44.13'' W 99° 03' 23.43''</v>
      </c>
      <c r="X160" s="2">
        <v>2116</v>
      </c>
      <c r="Y160" s="19">
        <v>0</v>
      </c>
      <c r="Z160" s="19">
        <v>0</v>
      </c>
      <c r="AA160" s="19">
        <v>8</v>
      </c>
      <c r="AB160" s="2">
        <v>12</v>
      </c>
      <c r="AC160" s="19">
        <v>14</v>
      </c>
      <c r="AD160" s="19">
        <v>0</v>
      </c>
      <c r="AE160" s="2">
        <f>SUM(tbSabana2016[[#This Row],[Arbolado Adulto (HA)]:[Suelo Orgánico (HA)]])</f>
        <v>34</v>
      </c>
      <c r="AF160" s="9">
        <f>SUM(AF159,AE160)</f>
        <v>3549.6800000000003</v>
      </c>
      <c r="AG160" s="9">
        <f>tbSabana2016[[#This Row],[Acumulado (HA)]]/tbSabana2016[[#This Row],[Incendio en el AÑO]]</f>
        <v>22.754358974358976</v>
      </c>
      <c r="AH160" s="2" t="s">
        <v>418</v>
      </c>
      <c r="AI160" s="2" t="s">
        <v>429</v>
      </c>
      <c r="AJ160" s="2" t="s">
        <v>139</v>
      </c>
      <c r="AK160" s="2" t="s">
        <v>166</v>
      </c>
      <c r="AL160" s="2" t="s">
        <v>150</v>
      </c>
      <c r="AM160" s="2" t="s">
        <v>151</v>
      </c>
      <c r="AN160" s="32">
        <v>43600.326388888891</v>
      </c>
      <c r="AO160" s="32">
        <v>43600.329861111109</v>
      </c>
      <c r="AP160" s="32">
        <v>43600.333333333336</v>
      </c>
      <c r="AQ160" s="32">
        <v>43600.375</v>
      </c>
      <c r="AR160" s="32">
        <v>43600.381944444445</v>
      </c>
      <c r="AS160" s="32"/>
      <c r="AT160" s="32">
        <v>43600.666666666664</v>
      </c>
      <c r="AU160" s="32">
        <v>43600.729166666664</v>
      </c>
      <c r="AV160" s="32">
        <v>43600.770833333336</v>
      </c>
      <c r="AW160" s="39">
        <v>0.37777777777777777</v>
      </c>
      <c r="AX160" s="39">
        <v>3.472222222222222E-3</v>
      </c>
      <c r="AY160" s="39">
        <v>4.5138888888888888E-2</v>
      </c>
      <c r="AZ160" s="39">
        <f>SUM(tbSabana2016[[#This Row],[Duración]])</f>
        <v>0.37777777777777777</v>
      </c>
      <c r="BA160" s="2">
        <v>1</v>
      </c>
      <c r="BB160" s="2">
        <v>0.8</v>
      </c>
      <c r="BC160" s="2">
        <v>0</v>
      </c>
      <c r="BD160" s="2">
        <v>0</v>
      </c>
      <c r="BE160" s="2">
        <v>0.6</v>
      </c>
      <c r="BF160" s="2">
        <v>0</v>
      </c>
      <c r="BG160" s="2">
        <v>0</v>
      </c>
      <c r="BH160" s="2">
        <v>1</v>
      </c>
      <c r="BI160" s="2">
        <v>0</v>
      </c>
      <c r="BJ160" s="2" t="s">
        <v>582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 t="s">
        <v>744</v>
      </c>
      <c r="BT160" s="2">
        <v>0</v>
      </c>
      <c r="BU160" s="2">
        <v>0</v>
      </c>
      <c r="BV160" s="2">
        <v>17</v>
      </c>
      <c r="BW160" s="2">
        <v>0</v>
      </c>
      <c r="BX160" s="2">
        <v>0</v>
      </c>
      <c r="BY160" s="2">
        <v>10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1">
        <v>0</v>
      </c>
      <c r="CF160" s="1">
        <v>6</v>
      </c>
      <c r="CG160" s="1">
        <v>6</v>
      </c>
      <c r="CH160" s="1">
        <v>0</v>
      </c>
      <c r="CI160" s="1">
        <v>0</v>
      </c>
      <c r="CJ160" s="1">
        <v>0</v>
      </c>
      <c r="CK160" s="2">
        <v>0</v>
      </c>
      <c r="CL160" s="2">
        <v>0</v>
      </c>
      <c r="CM160" s="1">
        <v>0</v>
      </c>
      <c r="CN160" s="93">
        <f>SUM(BT160:CM160)</f>
        <v>39</v>
      </c>
      <c r="CO160" s="10">
        <f t="shared" si="99"/>
        <v>3911</v>
      </c>
      <c r="CP160" s="1">
        <f>SUM(BT160:CG160,CI160:CM160)</f>
        <v>39</v>
      </c>
      <c r="CQ160" s="1">
        <f>SUM(tbSabana2016[[#This Row],[Voluntarios]])</f>
        <v>0</v>
      </c>
      <c r="CR160" s="1">
        <f>tbSabana2016[[#This Row],[CONAFOR (Oficiales)]]*383</f>
        <v>0</v>
      </c>
      <c r="CS160" s="8">
        <f>(tbSabana2016[[#This Row],[Total (Oficiales)]]-tbSabana2016[[#This Row],[CONAFOR (Oficiales)]])*217</f>
        <v>8463</v>
      </c>
      <c r="CT160" s="94">
        <f>SUM(tbSabana2016[[#This Row],[Costo CONAFOR]:[Costo Otros]])</f>
        <v>8463</v>
      </c>
      <c r="CU160" s="8">
        <v>551</v>
      </c>
      <c r="CV160" s="8">
        <f>SUM(CT160:CU160)</f>
        <v>9014</v>
      </c>
      <c r="CW160" s="1" t="s">
        <v>154</v>
      </c>
      <c r="CX160" s="1" t="s">
        <v>154</v>
      </c>
      <c r="CY160" s="1" t="s">
        <v>154</v>
      </c>
      <c r="CZ160" s="2" t="s">
        <v>154</v>
      </c>
      <c r="DA160" s="1" t="s">
        <v>172</v>
      </c>
      <c r="DB160" s="1" t="s">
        <v>155</v>
      </c>
      <c r="DC160" s="2" t="s">
        <v>468</v>
      </c>
      <c r="DD160" s="1" t="s">
        <v>311</v>
      </c>
      <c r="DE160" s="2" t="s">
        <v>170</v>
      </c>
      <c r="DF160" s="2" t="s">
        <v>159</v>
      </c>
      <c r="DG160" s="2" t="s">
        <v>475</v>
      </c>
      <c r="DH160" s="2">
        <v>0</v>
      </c>
      <c r="DI160" s="2">
        <v>0</v>
      </c>
      <c r="DJ160" s="2">
        <v>8</v>
      </c>
      <c r="DK160" s="2">
        <v>12</v>
      </c>
      <c r="DL160" s="2">
        <v>14</v>
      </c>
      <c r="DM160" s="2">
        <v>0</v>
      </c>
      <c r="DN160" s="93">
        <f>SUM(DH160:DM160)</f>
        <v>34</v>
      </c>
      <c r="DO160" s="95"/>
    </row>
    <row r="161" spans="1:119" s="1" customFormat="1" x14ac:dyDescent="0.25">
      <c r="A161" s="2" t="s">
        <v>746</v>
      </c>
      <c r="B161" s="2">
        <v>157</v>
      </c>
      <c r="C161" s="35">
        <v>43600</v>
      </c>
      <c r="D161" s="35">
        <v>43600</v>
      </c>
      <c r="E161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61" s="2">
        <v>26</v>
      </c>
      <c r="G161" s="2">
        <v>1</v>
      </c>
      <c r="H161" s="47">
        <v>20</v>
      </c>
      <c r="I161" s="2" t="str">
        <f>TEXT(tbSabana2016[[#This Row],[Fecha de Inicio]],"dddd")</f>
        <v>miércoles</v>
      </c>
      <c r="J161" s="2" t="str">
        <f>TEXT(tbSabana2016[[#This Row],[Fecha de Inicio]],"mmmm")</f>
        <v>mayo</v>
      </c>
      <c r="K161" s="37" t="s">
        <v>143</v>
      </c>
      <c r="L161" s="23">
        <v>9</v>
      </c>
      <c r="M161" s="38" t="s">
        <v>144</v>
      </c>
      <c r="N161" s="38" t="s">
        <v>477</v>
      </c>
      <c r="O161" s="96" t="s">
        <v>747</v>
      </c>
      <c r="P161" s="2"/>
      <c r="Q161" s="2">
        <v>19</v>
      </c>
      <c r="R161" s="104">
        <v>3</v>
      </c>
      <c r="S161" s="104">
        <v>35.28</v>
      </c>
      <c r="T161" s="104">
        <v>99</v>
      </c>
      <c r="U161" s="104">
        <v>11</v>
      </c>
      <c r="V161" s="104">
        <v>24.07</v>
      </c>
      <c r="W161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03' 35.28'' W 99° 11' 24.07''</v>
      </c>
      <c r="X161" s="2">
        <v>2900</v>
      </c>
      <c r="Y161" s="19">
        <v>0</v>
      </c>
      <c r="Z161" s="19">
        <v>0</v>
      </c>
      <c r="AA161" s="19">
        <v>3.1</v>
      </c>
      <c r="AB161" s="2">
        <v>4</v>
      </c>
      <c r="AC161" s="19">
        <v>0</v>
      </c>
      <c r="AD161" s="19">
        <v>0</v>
      </c>
      <c r="AE161" s="2">
        <f>SUM(tbSabana2016[[#This Row],[Arbolado Adulto (HA)]:[Suelo Orgánico (HA)]])</f>
        <v>7.1</v>
      </c>
      <c r="AF161" s="9">
        <f>SUM(AF160,AE161)</f>
        <v>3556.78</v>
      </c>
      <c r="AG161" s="9">
        <f>tbSabana2016[[#This Row],[Acumulado (HA)]]/tbSabana2016[[#This Row],[Incendio en el AÑO]]</f>
        <v>22.654649681528664</v>
      </c>
      <c r="AH161" s="2" t="s">
        <v>418</v>
      </c>
      <c r="AI161" s="2" t="s">
        <v>429</v>
      </c>
      <c r="AJ161" s="2" t="s">
        <v>139</v>
      </c>
      <c r="AK161" s="2" t="s">
        <v>166</v>
      </c>
      <c r="AL161" s="2" t="s">
        <v>150</v>
      </c>
      <c r="AM161" s="2" t="s">
        <v>151</v>
      </c>
      <c r="AN161" s="32">
        <v>43600.336805555555</v>
      </c>
      <c r="AO161" s="32">
        <v>43600.340277777781</v>
      </c>
      <c r="AP161" s="32">
        <v>43600.34375</v>
      </c>
      <c r="AQ161" s="32">
        <v>43600.354166666664</v>
      </c>
      <c r="AR161" s="32">
        <v>43600.357638888891</v>
      </c>
      <c r="AS161" s="32"/>
      <c r="AT161" s="32">
        <v>43600.625</v>
      </c>
      <c r="AU161" s="32">
        <v>43600.708333333336</v>
      </c>
      <c r="AV161" s="32">
        <v>43600.729166666664</v>
      </c>
      <c r="AW161" s="39">
        <v>0.37152777777777773</v>
      </c>
      <c r="AX161" s="39">
        <v>3.472222222222222E-3</v>
      </c>
      <c r="AY161" s="39">
        <v>1.3888888888888888E-2</v>
      </c>
      <c r="AZ161" s="39">
        <f>SUM(tbSabana2016[[#This Row],[Duración]])</f>
        <v>0.37152777777777773</v>
      </c>
      <c r="BA161" s="2">
        <v>0.8</v>
      </c>
      <c r="BB161" s="2">
        <v>0.2</v>
      </c>
      <c r="BC161" s="2">
        <v>0</v>
      </c>
      <c r="BD161" s="2">
        <v>0</v>
      </c>
      <c r="BE161" s="2">
        <v>0.3</v>
      </c>
      <c r="BF161" s="2">
        <v>0</v>
      </c>
      <c r="BG161" s="2">
        <v>0</v>
      </c>
      <c r="BH161" s="2">
        <v>0</v>
      </c>
      <c r="BI161" s="2">
        <v>0</v>
      </c>
      <c r="BJ161" s="2" t="s">
        <v>717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 t="s">
        <v>748</v>
      </c>
      <c r="BT161" s="2">
        <v>0</v>
      </c>
      <c r="BU161" s="2">
        <v>0</v>
      </c>
      <c r="BV161" s="2">
        <v>9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1">
        <v>0</v>
      </c>
      <c r="CF161" s="1">
        <v>0</v>
      </c>
      <c r="CG161" s="1">
        <v>0</v>
      </c>
      <c r="CH161" s="1">
        <v>3</v>
      </c>
      <c r="CI161" s="1">
        <v>0</v>
      </c>
      <c r="CJ161" s="1">
        <v>0</v>
      </c>
      <c r="CK161" s="2">
        <v>0</v>
      </c>
      <c r="CL161" s="2">
        <v>0</v>
      </c>
      <c r="CM161" s="1">
        <v>0</v>
      </c>
      <c r="CN161" s="93">
        <f>SUM(BT161:CM161)</f>
        <v>12</v>
      </c>
      <c r="CO161" s="10">
        <f t="shared" si="99"/>
        <v>3923</v>
      </c>
      <c r="CP161" s="1">
        <f>SUM(BT161:CG161,CI161:CM161)</f>
        <v>9</v>
      </c>
      <c r="CQ161" s="1">
        <f>SUM(tbSabana2016[[#This Row],[Voluntarios]])</f>
        <v>3</v>
      </c>
      <c r="CR161" s="1">
        <f>tbSabana2016[[#This Row],[CONAFOR (Oficiales)]]*383</f>
        <v>0</v>
      </c>
      <c r="CS161" s="8">
        <f>(tbSabana2016[[#This Row],[Total (Oficiales)]]-tbSabana2016[[#This Row],[CONAFOR (Oficiales)]])*217</f>
        <v>2604</v>
      </c>
      <c r="CT161" s="94">
        <f>SUM(tbSabana2016[[#This Row],[Costo CONAFOR]:[Costo Otros]])</f>
        <v>2604</v>
      </c>
      <c r="CU161" s="8">
        <v>57</v>
      </c>
      <c r="CV161" s="8">
        <f>SUM(CT161:CU161)</f>
        <v>2661</v>
      </c>
      <c r="CW161" s="1" t="s">
        <v>154</v>
      </c>
      <c r="CX161" s="1" t="s">
        <v>154</v>
      </c>
      <c r="CY161" s="1" t="s">
        <v>154</v>
      </c>
      <c r="CZ161" s="2" t="s">
        <v>154</v>
      </c>
      <c r="DA161" s="1" t="s">
        <v>172</v>
      </c>
      <c r="DB161" s="1" t="s">
        <v>155</v>
      </c>
      <c r="DC161" s="25" t="s">
        <v>362</v>
      </c>
      <c r="DD161" s="1" t="s">
        <v>370</v>
      </c>
      <c r="DE161" s="2" t="s">
        <v>158</v>
      </c>
      <c r="DF161" s="2" t="s">
        <v>159</v>
      </c>
      <c r="DG161" s="2" t="s">
        <v>160</v>
      </c>
      <c r="DH161" s="2">
        <v>0</v>
      </c>
      <c r="DI161" s="2">
        <v>0</v>
      </c>
      <c r="DJ161" s="2">
        <v>3.1</v>
      </c>
      <c r="DK161" s="2">
        <v>4</v>
      </c>
      <c r="DL161" s="2">
        <v>0</v>
      </c>
      <c r="DM161" s="2">
        <v>0</v>
      </c>
      <c r="DN161" s="93">
        <f>SUM(DH161:DM161)</f>
        <v>7.1</v>
      </c>
      <c r="DO161" s="95"/>
    </row>
    <row r="162" spans="1:119" s="1" customFormat="1" x14ac:dyDescent="0.25">
      <c r="A162" s="2" t="s">
        <v>749</v>
      </c>
      <c r="B162" s="2">
        <v>158</v>
      </c>
      <c r="C162" s="35">
        <v>43605</v>
      </c>
      <c r="D162" s="35">
        <v>43605</v>
      </c>
      <c r="E162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62" s="2">
        <v>27</v>
      </c>
      <c r="G162" s="2">
        <v>1</v>
      </c>
      <c r="H162" s="47">
        <v>20</v>
      </c>
      <c r="I162" s="2" t="str">
        <f>TEXT(tbSabana2016[[#This Row],[Fecha de Inicio]],"dddd")</f>
        <v>lunes</v>
      </c>
      <c r="J162" s="2" t="str">
        <f>TEXT(tbSabana2016[[#This Row],[Fecha de Inicio]],"mmmm")</f>
        <v>mayo</v>
      </c>
      <c r="K162" s="37" t="s">
        <v>143</v>
      </c>
      <c r="L162" s="23">
        <v>9</v>
      </c>
      <c r="M162" s="38" t="s">
        <v>144</v>
      </c>
      <c r="N162" s="38" t="s">
        <v>144</v>
      </c>
      <c r="O162" s="96" t="s">
        <v>750</v>
      </c>
      <c r="P162" s="2" t="s">
        <v>249</v>
      </c>
      <c r="Q162" s="2">
        <v>18</v>
      </c>
      <c r="R162" s="104">
        <v>59</v>
      </c>
      <c r="S162" s="104">
        <v>13.5</v>
      </c>
      <c r="T162" s="104">
        <v>99</v>
      </c>
      <c r="U162" s="104">
        <v>12</v>
      </c>
      <c r="V162" s="104">
        <v>55.7</v>
      </c>
      <c r="W162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18° 59' 13.50'' W 99° 12' 55.70''</v>
      </c>
      <c r="X162" s="2">
        <v>1989</v>
      </c>
      <c r="Y162" s="19">
        <v>0</v>
      </c>
      <c r="Z162" s="19">
        <v>0</v>
      </c>
      <c r="AA162" s="19">
        <v>0.5</v>
      </c>
      <c r="AB162" s="2">
        <v>0.4</v>
      </c>
      <c r="AC162" s="19">
        <v>0</v>
      </c>
      <c r="AD162" s="19">
        <v>0</v>
      </c>
      <c r="AE162" s="2">
        <f>SUM(tbSabana2016[[#This Row],[Arbolado Adulto (HA)]:[Suelo Orgánico (HA)]])</f>
        <v>0.9</v>
      </c>
      <c r="AF162" s="9">
        <f>SUM(AF161,AE162)</f>
        <v>3557.6800000000003</v>
      </c>
      <c r="AG162" s="9">
        <f>tbSabana2016[[#This Row],[Acumulado (HA)]]/tbSabana2016[[#This Row],[Incendio en el AÑO]]</f>
        <v>22.516962025316456</v>
      </c>
      <c r="AH162" s="2" t="s">
        <v>147</v>
      </c>
      <c r="AI162" s="2" t="s">
        <v>165</v>
      </c>
      <c r="AJ162" s="2" t="s">
        <v>416</v>
      </c>
      <c r="AK162" s="2" t="s">
        <v>166</v>
      </c>
      <c r="AL162" s="2" t="s">
        <v>150</v>
      </c>
      <c r="AM162" s="2" t="s">
        <v>151</v>
      </c>
      <c r="AN162" s="32">
        <v>43605.715277777781</v>
      </c>
      <c r="AO162" s="32">
        <v>43605.71875</v>
      </c>
      <c r="AP162" s="32">
        <v>43605.722222222219</v>
      </c>
      <c r="AQ162" s="32">
        <v>43605.736111111109</v>
      </c>
      <c r="AR162" s="32">
        <v>43605.739583333336</v>
      </c>
      <c r="AS162" s="32"/>
      <c r="AT162" s="32">
        <v>43605.8125</v>
      </c>
      <c r="AU162" s="32">
        <v>43605.854166666664</v>
      </c>
      <c r="AV162" s="32">
        <v>43605.875</v>
      </c>
      <c r="AW162" s="39">
        <v>0.1388888888888889</v>
      </c>
      <c r="AX162" s="39">
        <v>3.472222222222222E-3</v>
      </c>
      <c r="AY162" s="39">
        <v>1.7361111111111112E-2</v>
      </c>
      <c r="AZ162" s="39">
        <f>SUM(tbSabana2016[[#This Row],[Duración]])</f>
        <v>0.1388888888888889</v>
      </c>
      <c r="BA162" s="2">
        <v>0</v>
      </c>
      <c r="BB162" s="2">
        <v>0.2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 t="s">
        <v>751</v>
      </c>
      <c r="BK162" s="2">
        <v>0</v>
      </c>
      <c r="BL162" s="2">
        <v>1</v>
      </c>
      <c r="BM162" s="2">
        <v>1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 t="s">
        <v>46</v>
      </c>
      <c r="BT162" s="2">
        <v>12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1">
        <v>0</v>
      </c>
      <c r="CF162" s="1">
        <v>0</v>
      </c>
      <c r="CG162" s="1">
        <v>0</v>
      </c>
      <c r="CH162" s="1">
        <v>10</v>
      </c>
      <c r="CI162" s="1">
        <v>0</v>
      </c>
      <c r="CJ162" s="1">
        <v>0</v>
      </c>
      <c r="CK162" s="2">
        <v>0</v>
      </c>
      <c r="CL162" s="2">
        <v>0</v>
      </c>
      <c r="CM162" s="1">
        <v>0</v>
      </c>
      <c r="CN162" s="93">
        <f>SUM(BT162:CM162)</f>
        <v>22</v>
      </c>
      <c r="CO162" s="10">
        <f t="shared" si="99"/>
        <v>3945</v>
      </c>
      <c r="CP162" s="1">
        <f>SUM(BT162:CG162,CI162:CM162)</f>
        <v>12</v>
      </c>
      <c r="CQ162" s="1">
        <f>SUM(tbSabana2016[[#This Row],[Voluntarios]])</f>
        <v>10</v>
      </c>
      <c r="CR162" s="1">
        <f>tbSabana2016[[#This Row],[CONAFOR (Oficiales)]]*383</f>
        <v>4596</v>
      </c>
      <c r="CS162" s="8">
        <f>(tbSabana2016[[#This Row],[Total (Oficiales)]]-tbSabana2016[[#This Row],[CONAFOR (Oficiales)]])*217</f>
        <v>2170</v>
      </c>
      <c r="CT162" s="94">
        <f>SUM(tbSabana2016[[#This Row],[Costo CONAFOR]:[Costo Otros]])</f>
        <v>6766</v>
      </c>
      <c r="CU162" s="8">
        <v>265.52999999999997</v>
      </c>
      <c r="CV162" s="8">
        <f>SUM(CT162:CU162)</f>
        <v>7031.53</v>
      </c>
      <c r="CW162" s="1" t="s">
        <v>154</v>
      </c>
      <c r="CX162" s="1" t="s">
        <v>154</v>
      </c>
      <c r="CY162" s="1" t="s">
        <v>154</v>
      </c>
      <c r="CZ162" s="2" t="s">
        <v>154</v>
      </c>
      <c r="DA162" s="1" t="s">
        <v>172</v>
      </c>
      <c r="DB162" s="1" t="s">
        <v>155</v>
      </c>
      <c r="DC162" s="2" t="s">
        <v>468</v>
      </c>
      <c r="DD162" s="1" t="s">
        <v>311</v>
      </c>
      <c r="DE162" s="2" t="s">
        <v>158</v>
      </c>
      <c r="DF162" s="2" t="s">
        <v>159</v>
      </c>
      <c r="DG162" s="2" t="s">
        <v>160</v>
      </c>
      <c r="DH162" s="2">
        <v>0</v>
      </c>
      <c r="DI162" s="2">
        <v>0</v>
      </c>
      <c r="DJ162" s="2">
        <v>0.5</v>
      </c>
      <c r="DK162" s="2">
        <v>0.4</v>
      </c>
      <c r="DL162" s="2">
        <v>0</v>
      </c>
      <c r="DM162" s="2">
        <v>0</v>
      </c>
      <c r="DN162" s="93">
        <f>SUM(DH162:DM162)</f>
        <v>0.9</v>
      </c>
      <c r="DO162" s="95"/>
    </row>
    <row r="163" spans="1:119" s="1" customFormat="1" x14ac:dyDescent="0.25">
      <c r="A163" s="2" t="s">
        <v>752</v>
      </c>
      <c r="B163" s="2">
        <v>159</v>
      </c>
      <c r="C163" s="35">
        <v>43606</v>
      </c>
      <c r="D163" s="35">
        <v>43606</v>
      </c>
      <c r="E163" s="2" t="str">
        <f>IF(tbSabana2016[[#This Row],[Fecha de Término]]-tbSabana2016[[#This Row],[Fecha de Inicio]]+1&gt;0,IF(tbSabana2016[[#This Row],[Fecha de Término]]-tbSabana2016[[#This Row],[Fecha de Inicio]]+1=1,"1 Día","2 o más Días"),"XX")</f>
        <v>1 Día</v>
      </c>
      <c r="F163" s="2">
        <v>28</v>
      </c>
      <c r="G163" s="2">
        <v>1</v>
      </c>
      <c r="H163" s="47">
        <v>20</v>
      </c>
      <c r="I163" s="2" t="str">
        <f>TEXT(tbSabana2016[[#This Row],[Fecha de Inicio]],"dddd")</f>
        <v>martes</v>
      </c>
      <c r="J163" s="2" t="str">
        <f>TEXT(tbSabana2016[[#This Row],[Fecha de Inicio]],"mmmm")</f>
        <v>mayo</v>
      </c>
      <c r="K163" s="37" t="s">
        <v>143</v>
      </c>
      <c r="L163" s="23">
        <v>20</v>
      </c>
      <c r="M163" s="38" t="s">
        <v>162</v>
      </c>
      <c r="N163" s="38" t="s">
        <v>163</v>
      </c>
      <c r="O163" s="96" t="s">
        <v>753</v>
      </c>
      <c r="P163" s="2" t="s">
        <v>754</v>
      </c>
      <c r="Q163" s="2">
        <v>19</v>
      </c>
      <c r="R163" s="104">
        <v>0</v>
      </c>
      <c r="S163" s="104">
        <v>32.75</v>
      </c>
      <c r="T163" s="104">
        <v>99</v>
      </c>
      <c r="U163" s="104">
        <v>10</v>
      </c>
      <c r="V163" s="104">
        <v>8.57</v>
      </c>
      <c r="W163" s="2" t="str">
        <f>CONCATENATE("N ",TEXT(tbSabana2016[[#This Row],[Lat
 ( ° )]],"00"),"° ", TEXT(tbSabana2016[[#This Row],[Lat
 ( '' )]],"00"),"' ",TEXT(tbSabana2016[[#This Row],[Lat
 ( " )]],"00.00"),"''", " W ",TEXT(tbSabana2016[[#This Row],[Long
 ( ° )]],"00"),"° ",TEXT(tbSabana2016[[#This Row],[Long
 ( '' )]],"00"),"' ",TEXT(tbSabana2016[[#This Row],[Long
 ( " )]],"00.00"),"''")</f>
        <v>N 19° 00' 32.75'' W 99° 10' 08.57''</v>
      </c>
      <c r="X163" s="2">
        <v>2120</v>
      </c>
      <c r="Y163" s="19">
        <v>0</v>
      </c>
      <c r="Z163" s="19">
        <v>0</v>
      </c>
      <c r="AA163" s="19">
        <v>0</v>
      </c>
      <c r="AB163" s="2">
        <v>0.6</v>
      </c>
      <c r="AC163" s="19">
        <v>0</v>
      </c>
      <c r="AD163" s="19">
        <v>0</v>
      </c>
      <c r="AE163" s="2">
        <f>SUM(tbSabana2016[[#This Row],[Arbolado Adulto (HA)]:[Suelo Orgánico (HA)]])</f>
        <v>0.6</v>
      </c>
      <c r="AF163" s="9">
        <f>SUM(AF162,AE163)</f>
        <v>3558.28</v>
      </c>
      <c r="AG163" s="9">
        <f>tbSabana2016[[#This Row],[Acumulado (HA)]]/tbSabana2016[[#This Row],[Incendio en el AÑO]]</f>
        <v>22.379119496855346</v>
      </c>
      <c r="AH163" s="2" t="s">
        <v>147</v>
      </c>
      <c r="AI163" s="2" t="s">
        <v>165</v>
      </c>
      <c r="AJ163" s="2" t="s">
        <v>135</v>
      </c>
      <c r="AK163" s="2" t="s">
        <v>266</v>
      </c>
      <c r="AL163" s="2" t="s">
        <v>150</v>
      </c>
      <c r="AM163" s="2" t="s">
        <v>151</v>
      </c>
      <c r="AN163" s="32">
        <v>43606.680555555555</v>
      </c>
      <c r="AO163" s="32">
        <v>43606.684027777781</v>
      </c>
      <c r="AP163" s="32">
        <v>43606.6875</v>
      </c>
      <c r="AQ163" s="32">
        <v>43606.701388888891</v>
      </c>
      <c r="AR163" s="32">
        <v>43606.704861111109</v>
      </c>
      <c r="AS163" s="32"/>
      <c r="AT163" s="32">
        <v>43606.722222222219</v>
      </c>
      <c r="AU163" s="32">
        <v>43606.736111111109</v>
      </c>
      <c r="AV163" s="32">
        <v>43606.75</v>
      </c>
      <c r="AW163" s="39">
        <v>5.5555555555555552E-2</v>
      </c>
      <c r="AX163" s="39">
        <v>3.472222222222222E-3</v>
      </c>
      <c r="AY163" s="39">
        <v>1.7361111111111112E-2</v>
      </c>
      <c r="AZ163" s="39">
        <f>SUM(tbSabana2016[[#This Row],[Duración]])</f>
        <v>5.5555555555555552E-2</v>
      </c>
      <c r="BA163" s="2">
        <v>0</v>
      </c>
      <c r="BB163" s="2">
        <v>0.05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 t="s">
        <v>751</v>
      </c>
      <c r="BK163" s="2">
        <v>0</v>
      </c>
      <c r="BL163" s="2">
        <v>0</v>
      </c>
      <c r="BM163" s="2">
        <v>1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/>
      <c r="BT163" s="2">
        <v>7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0</v>
      </c>
      <c r="CK163" s="2">
        <v>0</v>
      </c>
      <c r="CL163" s="2">
        <v>0</v>
      </c>
      <c r="CM163" s="1">
        <v>0</v>
      </c>
      <c r="CN163" s="93">
        <f>SUM(BT163:CM163)</f>
        <v>7</v>
      </c>
      <c r="CO163" s="10">
        <f t="shared" si="99"/>
        <v>3952</v>
      </c>
      <c r="CP163" s="1">
        <f>SUM(BT163:CG163,CI163:CM163)</f>
        <v>7</v>
      </c>
      <c r="CQ163" s="1">
        <f>SUM(tbSabana2016[[#This Row],[Voluntarios]])</f>
        <v>0</v>
      </c>
      <c r="CR163" s="1">
        <f>tbSabana2016[[#This Row],[CONAFOR (Oficiales)]]*383</f>
        <v>2681</v>
      </c>
      <c r="CS163" s="8">
        <f>(tbSabana2016[[#This Row],[Total (Oficiales)]]-tbSabana2016[[#This Row],[CONAFOR (Oficiales)]])*217</f>
        <v>0</v>
      </c>
      <c r="CT163" s="94">
        <f>SUM(tbSabana2016[[#This Row],[Costo CONAFOR]:[Costo Otros]])</f>
        <v>2681</v>
      </c>
      <c r="CU163" s="8">
        <v>161.25</v>
      </c>
      <c r="CV163" s="8">
        <f>SUM(CT163:CU163)</f>
        <v>2842.25</v>
      </c>
      <c r="CW163" s="1" t="s">
        <v>154</v>
      </c>
      <c r="CX163" s="1" t="s">
        <v>154</v>
      </c>
      <c r="CY163" s="1" t="s">
        <v>154</v>
      </c>
      <c r="CZ163" s="2" t="s">
        <v>154</v>
      </c>
      <c r="DA163" s="1" t="s">
        <v>172</v>
      </c>
      <c r="DB163" s="1" t="s">
        <v>155</v>
      </c>
      <c r="DC163" s="2" t="s">
        <v>468</v>
      </c>
      <c r="DD163" s="1" t="s">
        <v>311</v>
      </c>
      <c r="DE163" s="2" t="s">
        <v>170</v>
      </c>
      <c r="DF163" s="2" t="s">
        <v>159</v>
      </c>
      <c r="DG163" s="2" t="s">
        <v>475</v>
      </c>
      <c r="DH163" s="2">
        <v>0</v>
      </c>
      <c r="DI163" s="2">
        <v>0</v>
      </c>
      <c r="DJ163" s="2">
        <v>0</v>
      </c>
      <c r="DK163" s="2">
        <v>0.6</v>
      </c>
      <c r="DL163" s="2">
        <v>0</v>
      </c>
      <c r="DM163" s="2">
        <v>0</v>
      </c>
      <c r="DN163" s="93">
        <f>SUM(DH163:DM163)</f>
        <v>0.6</v>
      </c>
      <c r="DO163" s="95"/>
    </row>
    <row r="164" spans="1:119" ht="15.75" x14ac:dyDescent="0.25">
      <c r="A164" s="128">
        <f>SUBTOTAL(103,tbSabana2016[Clave del Incendio])</f>
        <v>159</v>
      </c>
      <c r="B164" s="128"/>
      <c r="C164" s="129">
        <f>SUBTOTAL(105,tbSabana2016[Fecha de Inicio])</f>
        <v>43474</v>
      </c>
      <c r="D164" s="129">
        <f>SUBTOTAL(104,tbSabana2016[Fecha de Término])</f>
        <v>43606</v>
      </c>
      <c r="E164" s="130"/>
      <c r="F164" s="128"/>
      <c r="G164" s="128"/>
      <c r="H164" s="131"/>
      <c r="I164" s="132"/>
      <c r="J164" s="128"/>
      <c r="K164" s="128"/>
      <c r="L164" s="128">
        <f>SUBTOTAL(109,tbSabana2016[Clave de Municipio])</f>
        <v>2573</v>
      </c>
      <c r="M164" s="133"/>
      <c r="N164" s="133"/>
      <c r="O164" s="133"/>
      <c r="P164" s="134"/>
      <c r="Q164" s="130">
        <f>SUBTOTAL(109,tbSabana2016[Lat
 ( ° )])</f>
        <v>2938</v>
      </c>
      <c r="R164" s="135">
        <f>SUBTOTAL(109,tbSabana2016[Lat
 ( '' )])</f>
        <v>4903</v>
      </c>
      <c r="S164" s="136">
        <f>SUBTOTAL(109,tbSabana2016[Lat
 ( " )])</f>
        <v>4531.5</v>
      </c>
      <c r="T164" s="135">
        <f>SUBTOTAL(109,tbSabana2016[Long
 ( ° )])</f>
        <v>15733</v>
      </c>
      <c r="U164" s="135">
        <f>SUBTOTAL(109,tbSabana2016[Long
 ( '' )])</f>
        <v>2004</v>
      </c>
      <c r="V164" s="136">
        <f>SUBTOTAL(109,tbSabana2016[Long
 ( " )])</f>
        <v>4841.9899999999971</v>
      </c>
      <c r="W164" s="133"/>
      <c r="X164" s="137">
        <f>SUBTOTAL(109,tbSabana2016[a.s.n.m.])</f>
        <v>350454</v>
      </c>
      <c r="Y164" s="138">
        <f>SUBTOTAL(109,tbSabana2016[Arbolado Adulto (HA)])</f>
        <v>14</v>
      </c>
      <c r="Z164" s="138">
        <f>SUBTOTAL(109,tbSabana2016[Renuevo (HA)])</f>
        <v>178.74</v>
      </c>
      <c r="AA164" s="138">
        <f>SUBTOTAL(109,tbSabana2016[Arbustivo (HA)])</f>
        <v>1151.4799999999998</v>
      </c>
      <c r="AB164" s="138">
        <f>SUBTOTAL(109,tbSabana2016[Herbáceo (HA)])</f>
        <v>1608.9399999999994</v>
      </c>
      <c r="AC164" s="138">
        <f>SUBTOTAL(109,tbSabana2016[Hojarasca (HA)])</f>
        <v>603.80999999999983</v>
      </c>
      <c r="AD164" s="138">
        <f>SUBTOTAL(109,tbSabana2016[Suelo Orgánico (HA)])</f>
        <v>1.31</v>
      </c>
      <c r="AE164" s="138">
        <f>SUBTOTAL(109,tbSabana2016[Superficie Afectada (HA)])</f>
        <v>3558.28</v>
      </c>
      <c r="AF164" s="139"/>
      <c r="AG164" s="139"/>
      <c r="AH164" s="128"/>
      <c r="AI164" s="128"/>
      <c r="AJ164" s="128"/>
      <c r="AK164" s="128"/>
      <c r="AL164" s="128"/>
      <c r="AM164" s="128"/>
      <c r="AN164" s="140"/>
      <c r="AO164" s="141"/>
      <c r="AP164" s="141"/>
      <c r="AQ164" s="128"/>
      <c r="AR164" s="141"/>
      <c r="AS164" s="128"/>
      <c r="AT164" s="128"/>
      <c r="AU164" s="128"/>
      <c r="AV164" s="128"/>
      <c r="AW164" s="142">
        <f>SUBTOTAL(101,tbSabana2016[Duración])</f>
        <v>0.45823724668064297</v>
      </c>
      <c r="AX164" s="141">
        <f>SUBTOTAL(101,tbSabana2016[I. Detección ])</f>
        <v>2.0025331935709347E-2</v>
      </c>
      <c r="AY164" s="141">
        <f>SUBTOTAL(101,tbSabana2016[I. Llegada ])</f>
        <v>6.064378057302585E-2</v>
      </c>
      <c r="AZ164" s="141">
        <f>SUBTOTAL(101,tbSabana2016[I. Duración])</f>
        <v>0.45823724668064297</v>
      </c>
      <c r="BA164" s="128">
        <f>SUBTOTAL(109,tbSabana2016[Ataque Directo (KM)])</f>
        <v>80.949999999999946</v>
      </c>
      <c r="BB164" s="128">
        <f>SUBTOTAL(109,tbSabana2016[Apertura de Brecha Cortafuego (KM)])</f>
        <v>138.32000000000002</v>
      </c>
      <c r="BC164" s="128">
        <f>SUBTOTAL(109,tbSabana2016[Rehabilitación de Brecha Cortafuego (KM)])</f>
        <v>10.600000000000001</v>
      </c>
      <c r="BD164" s="128">
        <f>SUBTOTAL(109,tbSabana2016[Quema de Ensenche (KM)])</f>
        <v>2.895</v>
      </c>
      <c r="BE164" s="128">
        <f>SUBTOTAL(109,tbSabana2016[Contrafuegos                      (KM)])</f>
        <v>272.76500000000016</v>
      </c>
      <c r="BF164" s="128">
        <f>SUBTOTAL(109,tbSabana2016[Tendido de Manguera (KM)])</f>
        <v>0.04</v>
      </c>
      <c r="BG164" s="128">
        <f>SUBTOTAL(109,tbSabana2016[Sofocación (KM)])</f>
        <v>27.570000000000004</v>
      </c>
      <c r="BH164" s="128">
        <f>SUBTOTAL(109,tbSabana2016[Liquidación (KM)])</f>
        <v>190.68</v>
      </c>
      <c r="BI164" s="128">
        <f>SUBTOTAL(109,tbSabana2016[Líneas Negras (KM)])</f>
        <v>1.2</v>
      </c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8">
        <f>SUBTOTAL(109,tbSabana2016[CONAFOR (Oficiales)])</f>
        <v>1552</v>
      </c>
      <c r="BU164" s="128">
        <f>SUBTOTAL(109,tbSabana2016[CONAFOR (Brigada Rurales Estatales)])</f>
        <v>0</v>
      </c>
      <c r="BV164" s="128">
        <f>SUBTOTAL(109,tbSabana2016[CONAFOR (Brigadas Rurales Municipales)])</f>
        <v>318</v>
      </c>
      <c r="BW164" s="128">
        <f>SUBTOTAL(109,tbSabana2016[CONAFOR (Servicios Ambientales)])</f>
        <v>52</v>
      </c>
      <c r="BX164" s="128">
        <f>SUBTOTAL(109,tbSabana2016[CONAFOR (Subcontratados)])</f>
        <v>9</v>
      </c>
      <c r="BY164" s="128">
        <f>SUBTOTAL(109,tbSabana2016[CONANP (Oficiales)])</f>
        <v>427</v>
      </c>
      <c r="BZ164" s="128">
        <f>SUBTOTAL(109,tbSabana2016[CONANP (Servicios Externos)])</f>
        <v>0</v>
      </c>
      <c r="CA164" s="128">
        <f>SUBTOTAL(109,tbSabana2016[SEDENA])</f>
        <v>14</v>
      </c>
      <c r="CB164" s="128">
        <f>SUBTOTAL(109,tbSabana2016[SEMAR])</f>
        <v>0</v>
      </c>
      <c r="CC164" s="128">
        <f>SUBTOTAL(109,tbSabana2016[Otras Dependencias Federales])</f>
        <v>15</v>
      </c>
      <c r="CD164" s="128">
        <f>SUBTOTAL(109,tbSabana2016[Estatal (Gobierno del Estado)])</f>
        <v>629</v>
      </c>
      <c r="CE164" s="128">
        <f>SUBTOTAL(109,tbSabana2016[Estatal (Protección Civil)])</f>
        <v>18</v>
      </c>
      <c r="CF164" s="128">
        <f>SUBTOTAL(109,tbSabana2016[Municipales (Gobierno del Municipio)])</f>
        <v>170</v>
      </c>
      <c r="CG164" s="128">
        <f>SUBTOTAL(109,tbSabana2016[Municipales (Protección Civil)])</f>
        <v>214</v>
      </c>
      <c r="CH164" s="128">
        <f>SUBTOTAL(109,tbSabana2016[Voluntarios])</f>
        <v>282</v>
      </c>
      <c r="CI164" s="128">
        <f>SUBTOTAL(109,tbSabana2016[Propietarios y Poseedores de Terrenos Forestales])</f>
        <v>252</v>
      </c>
      <c r="CJ164" s="128">
        <f>SUBTOTAL(109,tbSabana2016[ONG´s])</f>
        <v>0</v>
      </c>
      <c r="CK164" s="128">
        <f>SUBTOTAL(109,tbSabana2016[Asociación de Silvicultores])</f>
        <v>0</v>
      </c>
      <c r="CL164" s="128">
        <f>SUBTOTAL(109,tbSabana2016[Sector Privado])</f>
        <v>0</v>
      </c>
      <c r="CM164" s="128">
        <f>SUBTOTAL(109,tbSabana2016[Autirización de Aprovechamiento Forestal])</f>
        <v>0</v>
      </c>
      <c r="CN164" s="128">
        <f>SUBTOTAL(109,tbSabana2016[Total (Oficiales)])</f>
        <v>3952</v>
      </c>
      <c r="CO164" s="143"/>
      <c r="CP164" s="143">
        <f>SUBTOTAL(109,tbSabana2016[[Oficiales ]])</f>
        <v>3670</v>
      </c>
      <c r="CQ164" s="143">
        <f>SUBTOTAL(109,tbSabana2016[[Voluntarios ]])</f>
        <v>282</v>
      </c>
      <c r="CR164" s="144">
        <f>SUBTOTAL(109,tbSabana2016[Costo CONAFOR])</f>
        <v>594416</v>
      </c>
      <c r="CS164" s="144">
        <f>SUBTOTAL(109,tbSabana2016[Costo Otros])</f>
        <v>520800</v>
      </c>
      <c r="CT164" s="144">
        <f>SUBTOTAL(109,tbSabana2016[Costo Total del Personal])</f>
        <v>1115216</v>
      </c>
      <c r="CU164" s="144">
        <f>SUBTOTAL(109,tbSabana2016[Costo de operación aplicado al incendio])</f>
        <v>128937.15</v>
      </c>
      <c r="CV164" s="144">
        <f>SUBTOTAL(109,tbSabana2016[Costo Total de Supresión del Incendio])</f>
        <v>1244153.1499999997</v>
      </c>
      <c r="CW164" s="128"/>
      <c r="CX164" s="128"/>
      <c r="CY164" s="128"/>
      <c r="CZ164" s="128"/>
      <c r="DA164" s="128"/>
      <c r="DB164" s="128"/>
      <c r="DC164" s="128"/>
      <c r="DD164" s="128"/>
      <c r="DE164" s="128"/>
      <c r="DF164" s="128"/>
      <c r="DG164" s="128"/>
      <c r="DH164" s="128">
        <f>SUBTOTAL(109,tbSabana2016[Arbolado Adulto (HA)2])</f>
        <v>0</v>
      </c>
      <c r="DI164" s="128">
        <f>SUBTOTAL(109,tbSabana2016[Renuevo (HA)3])</f>
        <v>131.15</v>
      </c>
      <c r="DJ164" s="128">
        <f>SUBTOTAL(109,tbSabana2016[Arbustivo (HA)4])</f>
        <v>973.84999999999968</v>
      </c>
      <c r="DK164" s="128">
        <f>SUBTOTAL(109,tbSabana2016[Herbáceo (HA)5])</f>
        <v>1370.3299999999997</v>
      </c>
      <c r="DL164" s="128">
        <f>SUBTOTAL(109,tbSabana2016[Hojarasca (HA)6])</f>
        <v>445.28</v>
      </c>
      <c r="DM164" s="128">
        <f>SUBTOTAL(109,tbSabana2016[Suelo Orgánico (HA)7])</f>
        <v>1.31</v>
      </c>
      <c r="DN164" s="128">
        <f>SUBTOTAL(109,tbSabana2016[Total Superficie Afectada ANP  (AH)])</f>
        <v>2921.92</v>
      </c>
    </row>
    <row r="165" spans="1:119" x14ac:dyDescent="0.25">
      <c r="CO165" s="1" t="s">
        <v>83</v>
      </c>
    </row>
    <row r="171" spans="1:119" x14ac:dyDescent="0.25">
      <c r="CO171" s="2"/>
      <c r="CP171" s="2"/>
      <c r="CQ171" s="2"/>
    </row>
  </sheetData>
  <protectedRanges>
    <protectedRange password="CAB3" sqref="C5:C32 D22:D32 F5:F127 H5:J127 H128:H163 C33:D163" name="Rango1_1"/>
    <protectedRange password="CAB3" sqref="F4 C2:H3 H4:J4 C4" name="Rango1_1_2"/>
  </protectedRanges>
  <mergeCells count="20">
    <mergeCell ref="C2:J2"/>
    <mergeCell ref="AN2:AW2"/>
    <mergeCell ref="AX2:AZ2"/>
    <mergeCell ref="BA2:BI2"/>
    <mergeCell ref="CP2:CQ2"/>
    <mergeCell ref="AJ2:AK3"/>
    <mergeCell ref="AH2:AI3"/>
    <mergeCell ref="Q3:S3"/>
    <mergeCell ref="T3:V3"/>
    <mergeCell ref="BT2:CO2"/>
    <mergeCell ref="CP3:CQ3"/>
    <mergeCell ref="Y2:Z2"/>
    <mergeCell ref="AA2:AD2"/>
    <mergeCell ref="K2:X2"/>
    <mergeCell ref="BK2:BR3"/>
    <mergeCell ref="DP2:DS2"/>
    <mergeCell ref="DH2:DI2"/>
    <mergeCell ref="DJ2:DM2"/>
    <mergeCell ref="CW2:CZ2"/>
    <mergeCell ref="CR2:CV2"/>
  </mergeCells>
  <conditionalFormatting sqref="Q5:Q18">
    <cfRule type="cellIs" dxfId="225" priority="6" stopIfTrue="1" operator="notBetween">
      <formula>18</formula>
      <formula>19</formula>
    </cfRule>
  </conditionalFormatting>
  <conditionalFormatting sqref="R5:R18">
    <cfRule type="cellIs" dxfId="224" priority="5" stopIfTrue="1" operator="notBetween">
      <formula>0</formula>
      <formula>59</formula>
    </cfRule>
  </conditionalFormatting>
  <conditionalFormatting sqref="Q19">
    <cfRule type="cellIs" dxfId="223" priority="2" stopIfTrue="1" operator="notBetween">
      <formula>18</formula>
      <formula>19</formula>
    </cfRule>
  </conditionalFormatting>
  <conditionalFormatting sqref="R19">
    <cfRule type="cellIs" dxfId="222" priority="1" stopIfTrue="1" operator="notBetween">
      <formula>0</formula>
      <formula>59</formula>
    </cfRule>
  </conditionalFormatting>
  <dataValidations count="5">
    <dataValidation type="whole" allowBlank="1" showInputMessage="1" showErrorMessage="1" sqref="T5:T163">
      <formula1>98</formula1>
      <formula2>99</formula2>
    </dataValidation>
    <dataValidation type="decimal" allowBlank="1" showInputMessage="1" showErrorMessage="1" sqref="S5:S163 V5:V163">
      <formula1>0</formula1>
      <formula2>60</formula2>
    </dataValidation>
    <dataValidation type="whole" allowBlank="1" showInputMessage="1" showErrorMessage="1" sqref="R5:R163 U5:U163">
      <formula1>0</formula1>
      <formula2>59</formula2>
    </dataValidation>
    <dataValidation type="whole" allowBlank="1" showInputMessage="1" showErrorMessage="1" sqref="Q5:Q163">
      <formula1>18</formula1>
      <formula2>19</formula2>
    </dataValidation>
    <dataValidation type="whole" allowBlank="1" showInputMessage="1" showErrorMessage="1" sqref="X5:X163">
      <formula1>800</formula1>
      <formula2>4000</formula2>
    </dataValidation>
  </dataValidations>
  <pageMargins left="0.98425196850393704" right="0.39370078740157483" top="1.3385826771653544" bottom="0.39370078740157483" header="0.31496062992125984" footer="0.31496062992125984"/>
  <pageSetup paperSize="5" scale="53" fitToWidth="6" orientation="landscape" r:id="rId1"/>
  <headerFooter>
    <oddHeader>&amp;L&amp;G&amp;C&amp;"Soberana Sans,Negrita"&amp;9COMISIÓN NACIONAL FORESTAL
GERENCIA ESTATAL EN MORELOS
Programa Estatal de Prevención de Incendios Forestales
Concentrado Anual de Incendios Forestales 2016&amp;R&amp;G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3:C11"/>
  <sheetViews>
    <sheetView showGridLines="0" workbookViewId="0">
      <selection activeCell="B8" sqref="B8"/>
    </sheetView>
  </sheetViews>
  <sheetFormatPr baseColWidth="10" defaultRowHeight="15" x14ac:dyDescent="0.25"/>
  <cols>
    <col min="1" max="1" width="18.140625" bestFit="1" customWidth="1"/>
    <col min="2" max="2" width="10.5703125" bestFit="1" customWidth="1"/>
    <col min="3" max="3" width="23.5703125" bestFit="1" customWidth="1"/>
  </cols>
  <sheetData>
    <row r="3" spans="1:3" x14ac:dyDescent="0.25">
      <c r="A3" s="15" t="s">
        <v>77</v>
      </c>
      <c r="B3" t="s">
        <v>78</v>
      </c>
      <c r="C3" t="s">
        <v>79</v>
      </c>
    </row>
    <row r="4" spans="1:3" x14ac:dyDescent="0.25">
      <c r="A4" s="16" t="s">
        <v>222</v>
      </c>
      <c r="B4" s="18">
        <v>22</v>
      </c>
      <c r="C4" s="18">
        <v>219.72</v>
      </c>
    </row>
    <row r="5" spans="1:3" x14ac:dyDescent="0.25">
      <c r="A5" s="16" t="s">
        <v>223</v>
      </c>
      <c r="B5" s="18">
        <v>20</v>
      </c>
      <c r="C5" s="18">
        <v>165.24</v>
      </c>
    </row>
    <row r="6" spans="1:3" x14ac:dyDescent="0.25">
      <c r="A6" s="16" t="s">
        <v>224</v>
      </c>
      <c r="B6" s="18">
        <v>25</v>
      </c>
      <c r="C6" s="18">
        <v>621.77</v>
      </c>
    </row>
    <row r="7" spans="1:3" x14ac:dyDescent="0.25">
      <c r="A7" s="16" t="s">
        <v>71</v>
      </c>
      <c r="B7" s="18">
        <v>29</v>
      </c>
      <c r="C7" s="18">
        <v>364.01</v>
      </c>
    </row>
    <row r="8" spans="1:3" x14ac:dyDescent="0.25">
      <c r="A8" s="16" t="s">
        <v>69</v>
      </c>
      <c r="B8" s="18">
        <v>20</v>
      </c>
      <c r="C8" s="18">
        <v>837.83999999999992</v>
      </c>
    </row>
    <row r="9" spans="1:3" x14ac:dyDescent="0.25">
      <c r="A9" s="16" t="s">
        <v>70</v>
      </c>
      <c r="B9" s="18">
        <v>18</v>
      </c>
      <c r="C9" s="18">
        <v>817.42</v>
      </c>
    </row>
    <row r="10" spans="1:3" x14ac:dyDescent="0.25">
      <c r="A10" s="16" t="s">
        <v>204</v>
      </c>
      <c r="B10" s="18">
        <v>25</v>
      </c>
      <c r="C10" s="18">
        <v>240.17000000000007</v>
      </c>
    </row>
    <row r="11" spans="1:3" x14ac:dyDescent="0.25">
      <c r="A11" s="16" t="s">
        <v>76</v>
      </c>
      <c r="B11" s="18">
        <v>159</v>
      </c>
      <c r="C11" s="18">
        <v>3266.170000000001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3:C9"/>
  <sheetViews>
    <sheetView showGridLines="0" workbookViewId="0">
      <selection activeCell="C6" sqref="C6"/>
    </sheetView>
  </sheetViews>
  <sheetFormatPr baseColWidth="10" defaultRowHeight="15" x14ac:dyDescent="0.25"/>
  <cols>
    <col min="1" max="1" width="12.5703125" bestFit="1" customWidth="1"/>
    <col min="2" max="2" width="10.5703125" bestFit="1" customWidth="1"/>
    <col min="3" max="3" width="23.5703125" bestFit="1" customWidth="1"/>
  </cols>
  <sheetData>
    <row r="3" spans="1:3" x14ac:dyDescent="0.25">
      <c r="A3" s="15" t="s">
        <v>13</v>
      </c>
      <c r="B3" t="s">
        <v>78</v>
      </c>
      <c r="C3" t="s">
        <v>79</v>
      </c>
    </row>
    <row r="4" spans="1:3" x14ac:dyDescent="0.25">
      <c r="A4" s="16" t="s">
        <v>80</v>
      </c>
      <c r="B4" s="18">
        <v>7</v>
      </c>
      <c r="C4" s="18">
        <v>82.92</v>
      </c>
    </row>
    <row r="5" spans="1:3" x14ac:dyDescent="0.25">
      <c r="A5" s="16" t="s">
        <v>136</v>
      </c>
      <c r="B5" s="18">
        <v>39</v>
      </c>
      <c r="C5" s="18">
        <v>251.52000000000007</v>
      </c>
    </row>
    <row r="6" spans="1:3" x14ac:dyDescent="0.25">
      <c r="A6" s="16" t="s">
        <v>458</v>
      </c>
      <c r="B6" s="18">
        <v>51</v>
      </c>
      <c r="C6" s="18">
        <v>500.50999999999993</v>
      </c>
    </row>
    <row r="7" spans="1:3" x14ac:dyDescent="0.25">
      <c r="A7" s="16" t="s">
        <v>568</v>
      </c>
      <c r="B7" s="18">
        <v>35</v>
      </c>
      <c r="C7" s="18">
        <v>1187.81</v>
      </c>
    </row>
    <row r="8" spans="1:3" x14ac:dyDescent="0.25">
      <c r="A8" s="16" t="s">
        <v>672</v>
      </c>
      <c r="B8" s="18">
        <v>27</v>
      </c>
      <c r="C8" s="18">
        <v>1243.4099999999999</v>
      </c>
    </row>
    <row r="9" spans="1:3" x14ac:dyDescent="0.25">
      <c r="A9" s="16" t="s">
        <v>76</v>
      </c>
      <c r="B9" s="18">
        <v>159</v>
      </c>
      <c r="C9" s="18">
        <v>3266.17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3:C23"/>
  <sheetViews>
    <sheetView showGridLines="0" topLeftCell="A13" workbookViewId="0">
      <selection activeCell="C11" sqref="C11"/>
    </sheetView>
  </sheetViews>
  <sheetFormatPr baseColWidth="10" defaultRowHeight="15" x14ac:dyDescent="0.25"/>
  <cols>
    <col min="1" max="1" width="17.28515625" customWidth="1"/>
    <col min="2" max="2" width="10.5703125" bestFit="1" customWidth="1"/>
    <col min="3" max="3" width="23.5703125" bestFit="1" customWidth="1"/>
  </cols>
  <sheetData>
    <row r="3" spans="1:3" x14ac:dyDescent="0.25">
      <c r="A3" s="15" t="s">
        <v>81</v>
      </c>
      <c r="B3" t="s">
        <v>78</v>
      </c>
      <c r="C3" t="s">
        <v>79</v>
      </c>
    </row>
    <row r="4" spans="1:3" x14ac:dyDescent="0.25">
      <c r="A4" s="20">
        <v>3</v>
      </c>
      <c r="B4" s="18">
        <v>1</v>
      </c>
      <c r="C4" s="18">
        <v>74.37</v>
      </c>
    </row>
    <row r="5" spans="1:3" x14ac:dyDescent="0.25">
      <c r="A5" s="20">
        <v>5</v>
      </c>
      <c r="B5" s="18">
        <v>4</v>
      </c>
      <c r="C5" s="18">
        <v>7.6499999999999995</v>
      </c>
    </row>
    <row r="6" spans="1:3" x14ac:dyDescent="0.25">
      <c r="A6" s="20">
        <v>6</v>
      </c>
      <c r="B6" s="18">
        <v>9</v>
      </c>
      <c r="C6" s="18">
        <v>81.410000000000011</v>
      </c>
    </row>
    <row r="7" spans="1:3" x14ac:dyDescent="0.25">
      <c r="A7" s="20">
        <v>7</v>
      </c>
      <c r="B7" s="18">
        <v>5</v>
      </c>
      <c r="C7" s="18">
        <v>13.55</v>
      </c>
    </row>
    <row r="8" spans="1:3" x14ac:dyDescent="0.25">
      <c r="A8" s="20">
        <v>8</v>
      </c>
      <c r="B8" s="18">
        <v>9</v>
      </c>
      <c r="C8" s="18">
        <v>51.57</v>
      </c>
    </row>
    <row r="9" spans="1:3" x14ac:dyDescent="0.25">
      <c r="A9" s="20">
        <v>9</v>
      </c>
      <c r="B9" s="18">
        <v>16</v>
      </c>
      <c r="C9" s="18">
        <v>104.99000000000001</v>
      </c>
    </row>
    <row r="10" spans="1:3" x14ac:dyDescent="0.25">
      <c r="A10" s="20">
        <v>10</v>
      </c>
      <c r="B10" s="18">
        <v>8</v>
      </c>
      <c r="C10" s="18">
        <v>25.659999999999993</v>
      </c>
    </row>
    <row r="11" spans="1:3" x14ac:dyDescent="0.25">
      <c r="A11" s="20">
        <v>11</v>
      </c>
      <c r="B11" s="18">
        <v>16</v>
      </c>
      <c r="C11" s="18">
        <v>126.32999999999998</v>
      </c>
    </row>
    <row r="12" spans="1:3" x14ac:dyDescent="0.25">
      <c r="A12" s="20">
        <v>12</v>
      </c>
      <c r="B12" s="18">
        <v>6</v>
      </c>
      <c r="C12" s="18">
        <v>14.259999999999998</v>
      </c>
    </row>
    <row r="13" spans="1:3" x14ac:dyDescent="0.25">
      <c r="A13" s="20">
        <v>13</v>
      </c>
      <c r="B13" s="18">
        <v>17</v>
      </c>
      <c r="C13" s="18">
        <v>315.62</v>
      </c>
    </row>
    <row r="14" spans="1:3" x14ac:dyDescent="0.25">
      <c r="A14" s="20">
        <v>14</v>
      </c>
      <c r="B14" s="18">
        <v>12</v>
      </c>
      <c r="C14" s="18">
        <v>191.07</v>
      </c>
    </row>
    <row r="15" spans="1:3" x14ac:dyDescent="0.25">
      <c r="A15" s="20">
        <v>15</v>
      </c>
      <c r="B15" s="18">
        <v>3</v>
      </c>
      <c r="C15" s="18">
        <v>56.11</v>
      </c>
    </row>
    <row r="16" spans="1:3" x14ac:dyDescent="0.25">
      <c r="A16" s="20">
        <v>16</v>
      </c>
      <c r="B16" s="18">
        <v>12</v>
      </c>
      <c r="C16" s="18">
        <v>848.9799999999999</v>
      </c>
    </row>
    <row r="17" spans="1:3" x14ac:dyDescent="0.25">
      <c r="A17" s="20">
        <v>17</v>
      </c>
      <c r="B17" s="18">
        <v>7</v>
      </c>
      <c r="C17" s="18">
        <v>6.91</v>
      </c>
    </row>
    <row r="18" spans="1:3" x14ac:dyDescent="0.25">
      <c r="A18" s="20">
        <v>18</v>
      </c>
      <c r="B18" s="18">
        <v>13</v>
      </c>
      <c r="C18" s="18">
        <v>399.49000000000007</v>
      </c>
    </row>
    <row r="19" spans="1:3" x14ac:dyDescent="0.25">
      <c r="A19" s="20">
        <v>19</v>
      </c>
      <c r="B19" s="18">
        <v>9</v>
      </c>
      <c r="C19" s="18">
        <v>647.76</v>
      </c>
    </row>
    <row r="20" spans="1:3" x14ac:dyDescent="0.25">
      <c r="A20" s="20">
        <v>20</v>
      </c>
      <c r="B20" s="18">
        <v>9</v>
      </c>
      <c r="C20" s="18">
        <v>84.14</v>
      </c>
    </row>
    <row r="21" spans="1:3" x14ac:dyDescent="0.25">
      <c r="A21" s="20">
        <v>2</v>
      </c>
      <c r="B21" s="18">
        <v>1</v>
      </c>
      <c r="C21" s="18">
        <v>0.9</v>
      </c>
    </row>
    <row r="22" spans="1:3" x14ac:dyDescent="0.25">
      <c r="A22" s="20" t="s">
        <v>755</v>
      </c>
      <c r="B22" s="18">
        <v>2</v>
      </c>
      <c r="C22" s="18">
        <v>215.4</v>
      </c>
    </row>
    <row r="23" spans="1:3" x14ac:dyDescent="0.25">
      <c r="A23" s="20" t="s">
        <v>76</v>
      </c>
      <c r="B23" s="18">
        <v>159</v>
      </c>
      <c r="C23" s="18">
        <v>3266.17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3:C19"/>
  <sheetViews>
    <sheetView showGridLines="0" workbookViewId="0">
      <selection activeCell="A19" sqref="A19"/>
    </sheetView>
  </sheetViews>
  <sheetFormatPr baseColWidth="10" defaultRowHeight="15" x14ac:dyDescent="0.25"/>
  <cols>
    <col min="1" max="1" width="16.140625" bestFit="1" customWidth="1"/>
    <col min="2" max="2" width="10.5703125" bestFit="1" customWidth="1"/>
    <col min="3" max="3" width="23.5703125" bestFit="1" customWidth="1"/>
  </cols>
  <sheetData>
    <row r="3" spans="1:3" x14ac:dyDescent="0.25">
      <c r="A3" s="15" t="s">
        <v>138</v>
      </c>
      <c r="B3" t="s">
        <v>78</v>
      </c>
      <c r="C3" t="s">
        <v>79</v>
      </c>
    </row>
    <row r="4" spans="1:3" x14ac:dyDescent="0.25">
      <c r="A4" s="16" t="s">
        <v>596</v>
      </c>
      <c r="B4" s="18">
        <v>1</v>
      </c>
      <c r="C4" s="18">
        <v>57</v>
      </c>
    </row>
    <row r="5" spans="1:3" x14ac:dyDescent="0.25">
      <c r="A5" s="16" t="s">
        <v>123</v>
      </c>
      <c r="B5" s="18">
        <v>17</v>
      </c>
      <c r="C5" s="18">
        <v>1900.38</v>
      </c>
    </row>
    <row r="6" spans="1:3" x14ac:dyDescent="0.25">
      <c r="A6" s="16" t="s">
        <v>231</v>
      </c>
      <c r="B6" s="18">
        <v>8</v>
      </c>
      <c r="C6" s="18">
        <v>18.529999999999998</v>
      </c>
    </row>
    <row r="7" spans="1:3" x14ac:dyDescent="0.25">
      <c r="A7" s="16" t="s">
        <v>755</v>
      </c>
      <c r="B7" s="18">
        <v>1</v>
      </c>
      <c r="C7" s="18">
        <v>0</v>
      </c>
    </row>
    <row r="8" spans="1:3" x14ac:dyDescent="0.25">
      <c r="A8" s="16" t="s">
        <v>704</v>
      </c>
      <c r="B8" s="18">
        <v>2</v>
      </c>
      <c r="C8" s="18">
        <v>99.51</v>
      </c>
    </row>
    <row r="9" spans="1:3" x14ac:dyDescent="0.25">
      <c r="A9" s="16" t="s">
        <v>144</v>
      </c>
      <c r="B9" s="18">
        <v>51</v>
      </c>
      <c r="C9" s="18">
        <v>382.09999999999991</v>
      </c>
    </row>
    <row r="10" spans="1:3" x14ac:dyDescent="0.25">
      <c r="A10" s="16" t="s">
        <v>162</v>
      </c>
      <c r="B10" s="18">
        <v>56</v>
      </c>
      <c r="C10" s="18">
        <v>555.18999999999994</v>
      </c>
    </row>
    <row r="11" spans="1:3" x14ac:dyDescent="0.25">
      <c r="A11" s="16" t="s">
        <v>197</v>
      </c>
      <c r="B11" s="18">
        <v>2</v>
      </c>
      <c r="C11" s="18">
        <v>34.369999999999997</v>
      </c>
    </row>
    <row r="12" spans="1:3" x14ac:dyDescent="0.25">
      <c r="A12" s="16" t="s">
        <v>405</v>
      </c>
      <c r="B12" s="18">
        <v>14</v>
      </c>
      <c r="C12" s="18">
        <v>186.28</v>
      </c>
    </row>
    <row r="13" spans="1:3" x14ac:dyDescent="0.25">
      <c r="A13" s="16" t="s">
        <v>438</v>
      </c>
      <c r="B13" s="18">
        <v>1</v>
      </c>
      <c r="C13" s="18">
        <v>11.35</v>
      </c>
    </row>
    <row r="14" spans="1:3" x14ac:dyDescent="0.25">
      <c r="A14" s="16" t="s">
        <v>462</v>
      </c>
      <c r="B14" s="18">
        <v>1</v>
      </c>
      <c r="C14" s="18">
        <v>5.87</v>
      </c>
    </row>
    <row r="15" spans="1:3" x14ac:dyDescent="0.25">
      <c r="A15" s="16" t="s">
        <v>542</v>
      </c>
      <c r="B15" s="18">
        <v>1</v>
      </c>
      <c r="C15" s="18">
        <v>6.34</v>
      </c>
    </row>
    <row r="16" spans="1:3" x14ac:dyDescent="0.25">
      <c r="A16" s="16" t="s">
        <v>564</v>
      </c>
      <c r="B16" s="18">
        <v>1</v>
      </c>
      <c r="C16" s="18">
        <v>5.24</v>
      </c>
    </row>
    <row r="17" spans="1:3" x14ac:dyDescent="0.25">
      <c r="A17" s="16" t="s">
        <v>624</v>
      </c>
      <c r="B17" s="18">
        <v>1</v>
      </c>
      <c r="C17" s="18">
        <v>2.21</v>
      </c>
    </row>
    <row r="18" spans="1:3" x14ac:dyDescent="0.25">
      <c r="A18" s="16" t="s">
        <v>648</v>
      </c>
      <c r="B18" s="18">
        <v>2</v>
      </c>
      <c r="C18" s="18">
        <v>1.8</v>
      </c>
    </row>
    <row r="19" spans="1:3" x14ac:dyDescent="0.25">
      <c r="A19" s="16" t="s">
        <v>76</v>
      </c>
      <c r="B19" s="18">
        <v>159</v>
      </c>
      <c r="C19" s="18">
        <v>3266.1700000000037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3:B4"/>
  <sheetViews>
    <sheetView showGridLines="0" workbookViewId="0">
      <selection activeCell="B4" sqref="B4"/>
    </sheetView>
  </sheetViews>
  <sheetFormatPr baseColWidth="10" defaultRowHeight="15" x14ac:dyDescent="0.25"/>
  <cols>
    <col min="1" max="1" width="10.5703125" customWidth="1"/>
    <col min="2" max="3" width="23.5703125" bestFit="1" customWidth="1"/>
  </cols>
  <sheetData>
    <row r="3" spans="1:2" x14ac:dyDescent="0.25">
      <c r="A3" t="s">
        <v>78</v>
      </c>
      <c r="B3" t="s">
        <v>79</v>
      </c>
    </row>
    <row r="4" spans="1:2" x14ac:dyDescent="0.25">
      <c r="A4" s="18">
        <v>159</v>
      </c>
      <c r="B4" s="18">
        <v>3266.17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3:C28"/>
  <sheetViews>
    <sheetView showGridLines="0" workbookViewId="0">
      <selection activeCell="B5" sqref="B5"/>
    </sheetView>
  </sheetViews>
  <sheetFormatPr baseColWidth="10" defaultRowHeight="15" x14ac:dyDescent="0.25"/>
  <cols>
    <col min="1" max="1" width="37.42578125" bestFit="1" customWidth="1"/>
    <col min="2" max="2" width="9.7109375" bestFit="1" customWidth="1"/>
    <col min="3" max="3" width="13.85546875" bestFit="1" customWidth="1"/>
  </cols>
  <sheetData>
    <row r="3" spans="1:3" ht="30" x14ac:dyDescent="0.25">
      <c r="A3" s="15" t="s">
        <v>82</v>
      </c>
      <c r="B3" s="21" t="s">
        <v>78</v>
      </c>
      <c r="C3" s="22" t="s">
        <v>79</v>
      </c>
    </row>
    <row r="4" spans="1:3" x14ac:dyDescent="0.25">
      <c r="A4" s="16" t="s">
        <v>135</v>
      </c>
      <c r="B4" s="18">
        <v>33</v>
      </c>
      <c r="C4" s="18">
        <v>137.47999999999999</v>
      </c>
    </row>
    <row r="5" spans="1:3" x14ac:dyDescent="0.25">
      <c r="A5" s="17" t="s">
        <v>175</v>
      </c>
      <c r="B5" s="18">
        <v>27</v>
      </c>
      <c r="C5" s="18">
        <v>66.699999999999989</v>
      </c>
    </row>
    <row r="6" spans="1:3" x14ac:dyDescent="0.25">
      <c r="A6" s="17" t="s">
        <v>266</v>
      </c>
      <c r="B6" s="18">
        <v>6</v>
      </c>
      <c r="C6" s="18">
        <v>70.78</v>
      </c>
    </row>
    <row r="7" spans="1:3" x14ac:dyDescent="0.25">
      <c r="A7" s="16" t="s">
        <v>755</v>
      </c>
      <c r="B7" s="18">
        <v>1</v>
      </c>
      <c r="C7" s="18">
        <v>0</v>
      </c>
    </row>
    <row r="8" spans="1:3" x14ac:dyDescent="0.25">
      <c r="A8" s="17" t="s">
        <v>755</v>
      </c>
      <c r="B8" s="18">
        <v>1</v>
      </c>
      <c r="C8" s="18">
        <v>0</v>
      </c>
    </row>
    <row r="9" spans="1:3" x14ac:dyDescent="0.25">
      <c r="A9" s="16" t="s">
        <v>521</v>
      </c>
      <c r="B9" s="18">
        <v>2</v>
      </c>
      <c r="C9" s="18">
        <v>1.5</v>
      </c>
    </row>
    <row r="10" spans="1:3" x14ac:dyDescent="0.25">
      <c r="A10" s="17" t="s">
        <v>522</v>
      </c>
      <c r="B10" s="18">
        <v>2</v>
      </c>
      <c r="C10" s="18">
        <v>1.5</v>
      </c>
    </row>
    <row r="11" spans="1:3" x14ac:dyDescent="0.25">
      <c r="A11" s="16" t="s">
        <v>567</v>
      </c>
      <c r="B11" s="18">
        <v>2</v>
      </c>
      <c r="C11" s="18">
        <v>5.64</v>
      </c>
    </row>
    <row r="12" spans="1:3" x14ac:dyDescent="0.25">
      <c r="A12" s="17" t="s">
        <v>166</v>
      </c>
      <c r="B12" s="18">
        <v>2</v>
      </c>
      <c r="C12" s="18">
        <v>5.64</v>
      </c>
    </row>
    <row r="13" spans="1:3" x14ac:dyDescent="0.25">
      <c r="A13" s="16" t="s">
        <v>133</v>
      </c>
      <c r="B13" s="18">
        <v>40</v>
      </c>
      <c r="C13" s="18">
        <v>1363.8299999999997</v>
      </c>
    </row>
    <row r="14" spans="1:3" x14ac:dyDescent="0.25">
      <c r="A14" s="17" t="s">
        <v>149</v>
      </c>
      <c r="B14" s="18">
        <v>39</v>
      </c>
      <c r="C14" s="18">
        <v>1349.9599999999998</v>
      </c>
    </row>
    <row r="15" spans="1:3" x14ac:dyDescent="0.25">
      <c r="A15" s="17" t="s">
        <v>734</v>
      </c>
      <c r="B15" s="18">
        <v>1</v>
      </c>
      <c r="C15" s="18">
        <v>13.870000000000001</v>
      </c>
    </row>
    <row r="16" spans="1:3" x14ac:dyDescent="0.25">
      <c r="A16" s="16" t="s">
        <v>134</v>
      </c>
      <c r="B16" s="18">
        <v>49</v>
      </c>
      <c r="C16" s="18">
        <v>981.38000000000011</v>
      </c>
    </row>
    <row r="17" spans="1:3" x14ac:dyDescent="0.25">
      <c r="A17" s="17" t="s">
        <v>183</v>
      </c>
      <c r="B17" s="18">
        <v>19</v>
      </c>
      <c r="C17" s="18">
        <v>75.75</v>
      </c>
    </row>
    <row r="18" spans="1:3" x14ac:dyDescent="0.25">
      <c r="A18" s="17" t="s">
        <v>200</v>
      </c>
      <c r="B18" s="18">
        <v>29</v>
      </c>
      <c r="C18" s="18">
        <v>831.26</v>
      </c>
    </row>
    <row r="19" spans="1:3" x14ac:dyDescent="0.25">
      <c r="A19" s="17" t="s">
        <v>214</v>
      </c>
      <c r="B19" s="18">
        <v>1</v>
      </c>
      <c r="C19" s="18">
        <v>74.37</v>
      </c>
    </row>
    <row r="20" spans="1:3" x14ac:dyDescent="0.25">
      <c r="A20" s="16" t="s">
        <v>276</v>
      </c>
      <c r="B20" s="18">
        <v>2</v>
      </c>
      <c r="C20" s="18">
        <v>2.1900000000000004</v>
      </c>
    </row>
    <row r="21" spans="1:3" x14ac:dyDescent="0.25">
      <c r="A21" s="17" t="s">
        <v>277</v>
      </c>
      <c r="B21" s="18">
        <v>2</v>
      </c>
      <c r="C21" s="18">
        <v>2.1900000000000004</v>
      </c>
    </row>
    <row r="22" spans="1:3" x14ac:dyDescent="0.25">
      <c r="A22" s="16" t="s">
        <v>139</v>
      </c>
      <c r="B22" s="18">
        <v>22</v>
      </c>
      <c r="C22" s="18">
        <v>750.78999999999985</v>
      </c>
    </row>
    <row r="23" spans="1:3" x14ac:dyDescent="0.25">
      <c r="A23" s="17" t="s">
        <v>166</v>
      </c>
      <c r="B23" s="18">
        <v>22</v>
      </c>
      <c r="C23" s="18">
        <v>750.78999999999985</v>
      </c>
    </row>
    <row r="24" spans="1:3" x14ac:dyDescent="0.25">
      <c r="A24" s="16" t="s">
        <v>416</v>
      </c>
      <c r="B24" s="18">
        <v>7</v>
      </c>
      <c r="C24" s="18">
        <v>19.139999999999997</v>
      </c>
    </row>
    <row r="25" spans="1:3" x14ac:dyDescent="0.25">
      <c r="A25" s="17" t="s">
        <v>166</v>
      </c>
      <c r="B25" s="18">
        <v>7</v>
      </c>
      <c r="C25" s="18">
        <v>19.139999999999997</v>
      </c>
    </row>
    <row r="26" spans="1:3" x14ac:dyDescent="0.25">
      <c r="A26" s="16" t="s">
        <v>449</v>
      </c>
      <c r="B26" s="18">
        <v>1</v>
      </c>
      <c r="C26" s="18">
        <v>4.22</v>
      </c>
    </row>
    <row r="27" spans="1:3" x14ac:dyDescent="0.25">
      <c r="A27" s="17" t="s">
        <v>166</v>
      </c>
      <c r="B27" s="18">
        <v>1</v>
      </c>
      <c r="C27" s="18">
        <v>4.22</v>
      </c>
    </row>
    <row r="28" spans="1:3" x14ac:dyDescent="0.25">
      <c r="A28" s="16" t="s">
        <v>76</v>
      </c>
      <c r="B28" s="18">
        <v>159</v>
      </c>
      <c r="C28" s="18">
        <v>3266.1700000000014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Hoja1</vt:lpstr>
      <vt:lpstr>Sabana</vt:lpstr>
      <vt:lpstr>DiaSemana</vt:lpstr>
      <vt:lpstr>Mes</vt:lpstr>
      <vt:lpstr>SemanaAño</vt:lpstr>
      <vt:lpstr>Municipio</vt:lpstr>
      <vt:lpstr>Predio</vt:lpstr>
      <vt:lpstr>Causas</vt:lpstr>
      <vt:lpstr>Sabana!Área_de_impresión</vt:lpstr>
      <vt:lpstr>Sabana!Títulos_a_imprimir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Rosales Martínez</dc:creator>
  <cp:lastModifiedBy>Administrador</cp:lastModifiedBy>
  <cp:lastPrinted>2017-02-11T14:56:18Z</cp:lastPrinted>
  <dcterms:created xsi:type="dcterms:W3CDTF">2014-09-24T16:21:43Z</dcterms:created>
  <dcterms:modified xsi:type="dcterms:W3CDTF">2019-05-23T21:15:20Z</dcterms:modified>
</cp:coreProperties>
</file>